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6682c8722de5572/Documents/Molino/Marketing/Bodas/"/>
    </mc:Choice>
  </mc:AlternateContent>
  <xr:revisionPtr revIDLastSave="0" documentId="10_ncr:100000_{A30ACE71-B8FC-442A-ADD9-34CC22AF4162}" xr6:coauthVersionLast="31" xr6:coauthVersionMax="31" xr10:uidLastSave="{00000000-0000-0000-0000-000000000000}"/>
  <workbookProtection workbookAlgorithmName="SHA-512" workbookHashValue="CZvGqsy7Fc6UKzOxgAOtIMNd+0KvD1sjaIDbAH1lAxot0AwCp/3ymtzCbKvY/UwMKAfTsjGSWJ/kOG6CVSSulQ==" workbookSaltValue="bsC248xcO1sL037jx6vH+Q==" workbookSpinCount="100000" lockStructure="1"/>
  <bookViews>
    <workbookView xWindow="0" yWindow="0" windowWidth="21600" windowHeight="10910" tabRatio="479" firstSheet="3" activeTab="3" xr2:uid="{00000000-000D-0000-FFFF-FFFF00000000}"/>
  </bookViews>
  <sheets>
    <sheet name="Inversiones" sheetId="1" state="hidden" r:id="rId1"/>
    <sheet name="Presupuesto" sheetId="2" state="hidden" r:id="rId2"/>
    <sheet name="Listas validación" sheetId="4" state="hidden" r:id="rId3"/>
    <sheet name="Configurador" sheetId="3" r:id="rId4"/>
  </sheets>
  <definedNames>
    <definedName name="Alojamiento">Configurador!$D$21:$E$21</definedName>
    <definedName name="_xlnm.Print_Area" localSheetId="3">Configurador!$C$1:$F$74</definedName>
    <definedName name="Comida">Configurador!$D$18:$E$18</definedName>
    <definedName name="Menú">Configurador!$D$18:$E$18</definedName>
    <definedName name="Silla">Configurador!$D$19:$E$19</definedName>
    <definedName name="SiNo">Configurador!$D$20:$E$20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H31" i="2"/>
  <c r="H4" i="2"/>
  <c r="H5" i="2"/>
  <c r="H7" i="2"/>
  <c r="H8" i="2"/>
  <c r="H9" i="2"/>
  <c r="H10" i="2"/>
  <c r="H11" i="2"/>
  <c r="H12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3" i="2"/>
  <c r="B45" i="2" l="1"/>
  <c r="E45" i="2" s="1"/>
  <c r="B44" i="2"/>
  <c r="E44" i="2" s="1"/>
  <c r="F44" i="2" s="1"/>
  <c r="B59" i="2"/>
  <c r="B55" i="2"/>
  <c r="B52" i="2"/>
  <c r="B51" i="2"/>
  <c r="B50" i="2"/>
  <c r="B49" i="2"/>
  <c r="B48" i="2"/>
  <c r="B47" i="2"/>
  <c r="G3" i="2"/>
  <c r="G4" i="2"/>
  <c r="G5" i="2"/>
  <c r="G7" i="2"/>
  <c r="G8" i="2"/>
  <c r="G11" i="2"/>
  <c r="G12" i="2"/>
  <c r="G15" i="2"/>
  <c r="G16" i="2"/>
  <c r="G17" i="2"/>
  <c r="G18" i="2"/>
  <c r="G19" i="2"/>
  <c r="G20" i="2"/>
  <c r="G21" i="2"/>
  <c r="G22" i="2"/>
  <c r="G23" i="2"/>
  <c r="G24" i="2"/>
  <c r="G26" i="2"/>
  <c r="G27" i="2"/>
  <c r="G30" i="2"/>
  <c r="G31" i="2"/>
  <c r="D14" i="2"/>
  <c r="D3" i="2"/>
  <c r="D4" i="2"/>
  <c r="D5" i="2"/>
  <c r="D6" i="2"/>
  <c r="D7" i="2"/>
  <c r="D8" i="2"/>
  <c r="D11" i="2"/>
  <c r="D12" i="2"/>
  <c r="D13" i="2"/>
  <c r="D15" i="2"/>
  <c r="D16" i="2"/>
  <c r="D17" i="2"/>
  <c r="D18" i="2"/>
  <c r="D19" i="2"/>
  <c r="D20" i="2"/>
  <c r="D21" i="2"/>
  <c r="D22" i="2"/>
  <c r="D23" i="2"/>
  <c r="D24" i="2"/>
  <c r="D25" i="2"/>
  <c r="G25" i="2" s="1"/>
  <c r="D27" i="2"/>
  <c r="D28" i="2"/>
  <c r="D29" i="2"/>
  <c r="H29" i="2" s="1"/>
  <c r="D30" i="2"/>
  <c r="D31" i="2"/>
  <c r="D2" i="2"/>
  <c r="G2" i="2" s="1"/>
  <c r="G14" i="2" l="1"/>
  <c r="H14" i="2"/>
  <c r="G13" i="2"/>
  <c r="H13" i="2"/>
  <c r="H2" i="2"/>
  <c r="G28" i="2"/>
  <c r="H28" i="2"/>
  <c r="G6" i="2"/>
  <c r="H6" i="2"/>
  <c r="H32" i="2" s="1"/>
  <c r="G29" i="2"/>
  <c r="F45" i="2"/>
  <c r="G45" i="2"/>
  <c r="G44" i="2"/>
  <c r="E47" i="2"/>
  <c r="E48" i="2"/>
  <c r="E49" i="2"/>
  <c r="E50" i="2"/>
  <c r="E51" i="2"/>
  <c r="E52" i="2"/>
  <c r="E55" i="2"/>
  <c r="C62" i="3" l="1"/>
  <c r="B58" i="2"/>
  <c r="E58" i="2" s="1"/>
  <c r="G58" i="2" l="1"/>
  <c r="F58" i="2"/>
  <c r="B2" i="2" l="1"/>
  <c r="B37" i="2" s="1"/>
  <c r="B7" i="2"/>
  <c r="B6" i="2"/>
  <c r="B5" i="2"/>
  <c r="D7" i="3"/>
  <c r="B42" i="2" l="1"/>
  <c r="E42" i="2" s="1"/>
  <c r="B43" i="2"/>
  <c r="E43" i="2" s="1"/>
  <c r="E46" i="2"/>
  <c r="G42" i="2" l="1"/>
  <c r="F42" i="2"/>
  <c r="F46" i="2"/>
  <c r="G46" i="2"/>
  <c r="G47" i="2"/>
  <c r="F47" i="2"/>
  <c r="F43" i="2"/>
  <c r="G43" i="2"/>
  <c r="B24" i="2" l="1"/>
  <c r="B53" i="2" s="1"/>
  <c r="E53" i="2" s="1"/>
  <c r="B57" i="2"/>
  <c r="B39" i="2"/>
  <c r="E39" i="2" s="1"/>
  <c r="E59" i="2"/>
  <c r="G59" i="2" s="1"/>
  <c r="F59" i="2" l="1"/>
  <c r="G39" i="2"/>
  <c r="F39" i="2"/>
  <c r="B60" i="3"/>
  <c r="B64" i="3"/>
  <c r="C64" i="3"/>
  <c r="C60" i="3"/>
  <c r="C59" i="3"/>
  <c r="C54" i="3"/>
  <c r="C46" i="3"/>
  <c r="C45" i="3"/>
  <c r="B43" i="3"/>
  <c r="Q37" i="2" l="1"/>
  <c r="R37" i="2" s="1"/>
  <c r="F53" i="2"/>
  <c r="R53" i="2" s="1"/>
  <c r="E54" i="2"/>
  <c r="F54" i="2" s="1"/>
  <c r="E57" i="2"/>
  <c r="F57" i="2" s="1"/>
  <c r="B23" i="2"/>
  <c r="B22" i="2"/>
  <c r="B20" i="2"/>
  <c r="B18" i="2"/>
  <c r="B16" i="2"/>
  <c r="B12" i="2"/>
  <c r="B10" i="2"/>
  <c r="D10" i="2" s="1"/>
  <c r="G10" i="2" s="1"/>
  <c r="B9" i="2"/>
  <c r="D9" i="2" s="1"/>
  <c r="B8" i="2"/>
  <c r="B4" i="2"/>
  <c r="G9" i="2" l="1"/>
  <c r="G32" i="2" s="1"/>
  <c r="D32" i="2"/>
  <c r="F48" i="2"/>
  <c r="G48" i="2"/>
  <c r="F49" i="2"/>
  <c r="G49" i="2"/>
  <c r="F50" i="2"/>
  <c r="G50" i="2"/>
  <c r="B41" i="2"/>
  <c r="E41" i="2" s="1"/>
  <c r="G41" i="2" s="1"/>
  <c r="G57" i="2"/>
  <c r="G55" i="2"/>
  <c r="M55" i="2"/>
  <c r="Q55" i="2"/>
  <c r="O55" i="2"/>
  <c r="G54" i="2"/>
  <c r="Q53" i="2"/>
  <c r="O53" i="2"/>
  <c r="P53" i="2"/>
  <c r="F55" i="2"/>
  <c r="G53" i="2"/>
  <c r="B56" i="2"/>
  <c r="E56" i="2" s="1"/>
  <c r="F56" i="2" s="1"/>
  <c r="G56" i="2" l="1"/>
  <c r="F41" i="2"/>
  <c r="R55" i="2"/>
  <c r="P55" i="2"/>
  <c r="N55" i="2"/>
  <c r="Q48" i="2" l="1"/>
  <c r="O48" i="2"/>
  <c r="M48" i="2"/>
  <c r="O49" i="2"/>
  <c r="Q49" i="2"/>
  <c r="M49" i="2"/>
  <c r="M50" i="2"/>
  <c r="O50" i="2"/>
  <c r="Q50" i="2"/>
  <c r="M51" i="2"/>
  <c r="Q51" i="2"/>
  <c r="O51" i="2"/>
  <c r="Q52" i="2"/>
  <c r="M52" i="2"/>
  <c r="O52" i="2"/>
  <c r="F52" i="2"/>
  <c r="G52" i="2"/>
  <c r="G51" i="2"/>
  <c r="F51" i="2"/>
  <c r="N48" i="2" l="1"/>
  <c r="R48" i="2"/>
  <c r="P48" i="2"/>
  <c r="N52" i="2"/>
  <c r="R52" i="2"/>
  <c r="P52" i="2"/>
  <c r="R51" i="2"/>
  <c r="P51" i="2"/>
  <c r="N51" i="2"/>
  <c r="R49" i="2"/>
  <c r="P49" i="2"/>
  <c r="N49" i="2"/>
  <c r="R50" i="2"/>
  <c r="P50" i="2"/>
  <c r="N50" i="2"/>
  <c r="B40" i="2"/>
  <c r="E40" i="2" s="1"/>
  <c r="B60" i="2"/>
  <c r="B2" i="1"/>
  <c r="Q40" i="2" l="1"/>
  <c r="E60" i="2"/>
  <c r="G40" i="2"/>
  <c r="F40" i="2"/>
  <c r="R40" i="2" s="1"/>
  <c r="B38" i="2"/>
  <c r="E38" i="2" s="1"/>
  <c r="E37" i="2"/>
  <c r="B6" i="1"/>
  <c r="E61" i="2" l="1"/>
  <c r="O37" i="2"/>
  <c r="M37" i="2"/>
  <c r="K37" i="2"/>
  <c r="K61" i="2" s="1"/>
  <c r="O47" i="2"/>
  <c r="Q47" i="2"/>
  <c r="M47" i="2"/>
  <c r="G60" i="2"/>
  <c r="F60" i="2"/>
  <c r="G38" i="2"/>
  <c r="F38" i="2"/>
  <c r="G37" i="2"/>
  <c r="F37" i="2"/>
  <c r="C66" i="3" s="1"/>
  <c r="C67" i="3" s="1"/>
  <c r="B8" i="1"/>
  <c r="B11" i="1" s="1"/>
  <c r="M61" i="2" l="1"/>
  <c r="N47" i="2"/>
  <c r="R47" i="2"/>
  <c r="P47" i="2"/>
  <c r="Q61" i="2"/>
  <c r="P37" i="2"/>
  <c r="L37" i="2"/>
  <c r="L61" i="2" s="1"/>
  <c r="N37" i="2"/>
  <c r="O61" i="2"/>
  <c r="B61" i="2"/>
  <c r="N61" i="2" l="1"/>
  <c r="P61" i="2"/>
  <c r="R61" i="2"/>
  <c r="F61" i="2"/>
  <c r="C69" i="3" s="1"/>
  <c r="C72" i="3" s="1"/>
  <c r="G61" i="2"/>
  <c r="C68" i="3" l="1"/>
  <c r="C7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Federico Yannone</author>
  </authors>
  <commentList>
    <comment ref="B25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Federico Yannone:</t>
        </r>
        <r>
          <rPr>
            <sz val="9"/>
            <color indexed="81"/>
            <rFont val="Tahoma"/>
            <charset val="1"/>
          </rPr>
          <t xml:space="preserve">
Desplazamiento en coche y una noche de alojamiento</t>
        </r>
      </text>
    </comment>
  </commentList>
</comments>
</file>

<file path=xl/sharedStrings.xml><?xml version="1.0" encoding="utf-8"?>
<sst xmlns="http://schemas.openxmlformats.org/spreadsheetml/2006/main" count="189" uniqueCount="145">
  <si>
    <t>Iluminación</t>
  </si>
  <si>
    <t>Alquiler finca</t>
  </si>
  <si>
    <t>Varios</t>
  </si>
  <si>
    <t>Carpa y toldos</t>
  </si>
  <si>
    <t>Alquiler alojamiento</t>
  </si>
  <si>
    <t>Total</t>
  </si>
  <si>
    <t>Sillas garrocha + funda</t>
  </si>
  <si>
    <t>Sillas anea</t>
  </si>
  <si>
    <t>Sillas caras</t>
  </si>
  <si>
    <t>Mesas</t>
  </si>
  <si>
    <t>TOTAL</t>
  </si>
  <si>
    <t>Coste</t>
  </si>
  <si>
    <t>Transporte mobiliario</t>
  </si>
  <si>
    <t>Margen</t>
  </si>
  <si>
    <t>Normal</t>
  </si>
  <si>
    <t>Premium</t>
  </si>
  <si>
    <t>Si</t>
  </si>
  <si>
    <t>No</t>
  </si>
  <si>
    <t>Resultado</t>
  </si>
  <si>
    <t>Sillas</t>
  </si>
  <si>
    <t>Mesas 5 personas (cocktel)</t>
  </si>
  <si>
    <t>Mesas 5 personas (Cocktel)</t>
  </si>
  <si>
    <t>Mantelería mesas 5 personas</t>
  </si>
  <si>
    <t>Servilletas</t>
  </si>
  <si>
    <t>Conceptos</t>
  </si>
  <si>
    <t>Una casa</t>
  </si>
  <si>
    <t>Dos casas</t>
  </si>
  <si>
    <t>Nº de eventos para amortizar</t>
  </si>
  <si>
    <t>Amortización por evento</t>
  </si>
  <si>
    <t>4 horas</t>
  </si>
  <si>
    <t>Animación infantil 2 horas</t>
  </si>
  <si>
    <t>Animación infantil 4 horas</t>
  </si>
  <si>
    <t>Música con DJ</t>
  </si>
  <si>
    <t>Animación infantil</t>
  </si>
  <si>
    <t>Amortizacones inversiones</t>
  </si>
  <si>
    <t>2 horas</t>
  </si>
  <si>
    <t>3 horas</t>
  </si>
  <si>
    <t>Paella</t>
  </si>
  <si>
    <t>Beneficio</t>
  </si>
  <si>
    <t>Animación infantil 3 horas</t>
  </si>
  <si>
    <t>Sin vestir (sin funda)</t>
  </si>
  <si>
    <t>Vestida (con funda)</t>
  </si>
  <si>
    <t>Alquiler silla vestida</t>
  </si>
  <si>
    <t>Silla sin vestir</t>
  </si>
  <si>
    <t>Precio de alojamiento dos casas + finca</t>
  </si>
  <si>
    <t>Menú promoción</t>
  </si>
  <si>
    <t>Albahaca</t>
  </si>
  <si>
    <t>Eneldo</t>
  </si>
  <si>
    <t>Lavanda</t>
  </si>
  <si>
    <t>Menú Albahaca (por persona)</t>
  </si>
  <si>
    <t>Menú Eneldo (por persona)</t>
  </si>
  <si>
    <t>Menú Lavanda (por persona)</t>
  </si>
  <si>
    <t>Precio de la celebración:</t>
  </si>
  <si>
    <t>Coste total del evento IVA inc.:</t>
  </si>
  <si>
    <t>Precio total por persona IVA inc.:</t>
  </si>
  <si>
    <t>Precio por persona del alojamiento 2 noches:</t>
  </si>
  <si>
    <t>Precio del alojamiento 2 noches:</t>
  </si>
  <si>
    <t>Precio por persona del menú IVA inc.:</t>
  </si>
  <si>
    <t>Mesas 10 personas (comida)</t>
  </si>
  <si>
    <t>Mantelería mesas 10 personas</t>
  </si>
  <si>
    <t>Flores</t>
  </si>
  <si>
    <t>Más mobiliario</t>
  </si>
  <si>
    <t>Más decoración</t>
  </si>
  <si>
    <t>Más catering</t>
  </si>
  <si>
    <t>PVP sin IVA</t>
  </si>
  <si>
    <t>PVP con IVA</t>
  </si>
  <si>
    <t>IVA</t>
  </si>
  <si>
    <t>Sin IVA</t>
  </si>
  <si>
    <t>IVA incl.</t>
  </si>
  <si>
    <t>Sólo finca</t>
  </si>
  <si>
    <t>Comida, tipo de menú:</t>
  </si>
  <si>
    <t>Paella del "día después", nº de comensales:</t>
  </si>
  <si>
    <t>Música con Disc Jockey:</t>
  </si>
  <si>
    <t>Animación infantil:</t>
  </si>
  <si>
    <t>Menú adultos</t>
  </si>
  <si>
    <t>Menú niños</t>
  </si>
  <si>
    <t>Rellene los siguientes datos para obtener su presupuesto:</t>
  </si>
  <si>
    <t>Alojamiento</t>
  </si>
  <si>
    <t>Una casa hasta 11 personas</t>
  </si>
  <si>
    <t>Una casa hasta 13 personas</t>
  </si>
  <si>
    <t>Asientos de alpacas de paja</t>
  </si>
  <si>
    <t>Decoración basada en motivos rústicos</t>
  </si>
  <si>
    <t>Flores para complementar decoración</t>
  </si>
  <si>
    <t>Mobiliario (mesas de cóctel y sillas) con mantelería</t>
  </si>
  <si>
    <t>Zona de bar con máquinas de frío, surtido de refrescos, cervezas y espirituosos</t>
  </si>
  <si>
    <t>Decoración de pérgola: cortinas de tela de saco</t>
  </si>
  <si>
    <t>Centros de mesas con decoración rústica y flores</t>
  </si>
  <si>
    <t>Flores para centros y complementar decoración</t>
  </si>
  <si>
    <t>Carpas</t>
  </si>
  <si>
    <t>Mobiliario (mesas para 8 comensales y sillas)</t>
  </si>
  <si>
    <t>Mantelería especial para eventos</t>
  </si>
  <si>
    <t>Vajilla, cristalería y cubertería especial para eventos</t>
  </si>
  <si>
    <t>Centros de mesas de estilo rústico complementado con flores</t>
  </si>
  <si>
    <t>Servicio de camareros</t>
  </si>
  <si>
    <t>Durante el cóctel</t>
  </si>
  <si>
    <t>Durante la recena</t>
  </si>
  <si>
    <t>Cóctel</t>
  </si>
  <si>
    <t>Entrante</t>
  </si>
  <si>
    <t>Dos segundos: Pescado y carne</t>
  </si>
  <si>
    <t>Postre nupcial</t>
  </si>
  <si>
    <t>Cava y sidra</t>
  </si>
  <si>
    <t>Café y licores</t>
  </si>
  <si>
    <t>Entretenimiento durante el evento</t>
  </si>
  <si>
    <t>Catering para el día siguiente</t>
  </si>
  <si>
    <t>Comida típica de la zona (entrantes y cordero asado)</t>
  </si>
  <si>
    <t>NOTA: Consulte con nosotros si desea otras opciones más personalizadas.</t>
  </si>
  <si>
    <t xml:space="preserve">Bar surtido para su uso durante todo el fin de semana (se abona según lo consumido) </t>
  </si>
  <si>
    <t>Zona para la ceremonia</t>
  </si>
  <si>
    <t xml:space="preserve">Zona para el cóctel </t>
  </si>
  <si>
    <t>Zona para comida</t>
  </si>
  <si>
    <t>Comida/Cena</t>
  </si>
  <si>
    <t>Zonas de celebración del evento / baile</t>
  </si>
  <si>
    <t>Servicio de bar y candy bar</t>
  </si>
  <si>
    <t>Candy bar</t>
  </si>
  <si>
    <t>Menú Albahaca niños (por persona)</t>
  </si>
  <si>
    <t>Menú Eneldo niños (por persona)</t>
  </si>
  <si>
    <t>Menú Lavanda niños (por persona)</t>
  </si>
  <si>
    <t>Limpieza o ayuda extra</t>
  </si>
  <si>
    <t>Menú de niños menores de 4 años</t>
  </si>
  <si>
    <t>Nº de niños menores de 5 años:</t>
  </si>
  <si>
    <t>Menú niños menores de 4 años</t>
  </si>
  <si>
    <t>Comensales (niños mayores de 12 años y adultos):</t>
  </si>
  <si>
    <t>Nº de niños de 5 hasta 12 años:</t>
  </si>
  <si>
    <t>Entrante, carne, pescado, postre nupcial, cava y sidra, café y licores y 3 horas de barra libre más una adicional de regalo</t>
  </si>
  <si>
    <t>Una hora y media de aperitivos y barra libre, entrante, carne, pescado, postre nupcial, cava y sidra, café y licores y 3 horas de barra libre más una adicional de regalo</t>
  </si>
  <si>
    <t>Una hora y media de cóctel y barra libre (nuestras mejores tapas), entrante, carne, pescado, postre nupcial, cava y sidra, café y licores y 3 horas de barra libre más una adicional de regalo, y recena a media tarde-media noche</t>
  </si>
  <si>
    <t>Autocar lanzadera entre Atienza y la Casa Rural:</t>
  </si>
  <si>
    <t>Autocar lanzadera</t>
  </si>
  <si>
    <t>Servicios adicionales</t>
  </si>
  <si>
    <t>Autocar lanzadera entre Atienza y la Casa Rural</t>
  </si>
  <si>
    <t>Desplazamiento y manutención</t>
  </si>
  <si>
    <t>Servicios incluidos y presupuesto</t>
  </si>
  <si>
    <r>
      <t>1</t>
    </r>
    <r>
      <rPr>
        <sz val="9"/>
        <color theme="7" tint="-0.499984740745262"/>
        <rFont val="Calibri"/>
        <family val="2"/>
      </rPr>
      <t>½</t>
    </r>
    <r>
      <rPr>
        <sz val="9"/>
        <color theme="7" tint="-0.499984740745262"/>
        <rFont val="Calibri"/>
        <family val="2"/>
        <scheme val="minor"/>
      </rPr>
      <t xml:space="preserve"> horas de aperitivos y barra libre</t>
    </r>
  </si>
  <si>
    <r>
      <t>1</t>
    </r>
    <r>
      <rPr>
        <sz val="9"/>
        <color theme="7" tint="-0.499984740745262"/>
        <rFont val="Calibri"/>
        <family val="2"/>
      </rPr>
      <t>½</t>
    </r>
    <r>
      <rPr>
        <sz val="9"/>
        <color theme="7" tint="-0.499984740745262"/>
        <rFont val="Calibri"/>
        <family val="2"/>
        <scheme val="minor"/>
      </rPr>
      <t xml:space="preserve"> horas de las mejores tapas y barra libre</t>
    </r>
  </si>
  <si>
    <t>4 horas de barra libre (la cuarta hora es gratuita)</t>
  </si>
  <si>
    <t>Durante la barra libre</t>
  </si>
  <si>
    <t>Durante la comida</t>
  </si>
  <si>
    <t>Recena a media tarde-media noche</t>
  </si>
  <si>
    <t>DJ con equipo de música, megafonía e iluminación</t>
  </si>
  <si>
    <t>Zona para baile</t>
  </si>
  <si>
    <t>Iluminación de guirnaldas</t>
  </si>
  <si>
    <t>Alpacas</t>
  </si>
  <si>
    <t>Ud</t>
  </si>
  <si>
    <t>Carpa</t>
  </si>
  <si>
    <t>Configurador de bodas - Precios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</si>
</sst>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\ &quot;€&quot;"/>
    <numFmt numFmtId="166" formatCode="#,##0.00\ &quot;€&quot;"/>
    <numFmt numFmtId="167" formatCode="#,##0.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sz val="8"/>
      <color theme="7" tint="-0.499984740745262"/>
      <name val="Calibri"/>
      <family val="2"/>
      <scheme val="minor"/>
    </font>
    <font>
      <sz val="9"/>
      <color theme="7" tint="-0.499984740745262"/>
      <name val="Calibri"/>
      <family val="2"/>
    </font>
  </fonts>
  <fills count="8">
    <fill>
      <patternFill patternType="none"/>
    </fill>
    <fill>
      <patternFill patternType="gray125"/>
    </fill>
    <fill>
      <patternFill patternType="darkGrid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Protection="1"/>
    <xf numFmtId="49" fontId="0" fillId="0" borderId="0" xfId="0" applyNumberFormat="1" applyAlignment="1">
      <alignment vertical="top" wrapText="1"/>
    </xf>
    <xf numFmtId="1" fontId="0" fillId="0" borderId="0" xfId="1" applyNumberFormat="1" applyFont="1"/>
    <xf numFmtId="165" fontId="12" fillId="0" borderId="0" xfId="0" applyNumberFormat="1" applyFont="1" applyAlignment="1" applyProtection="1">
      <alignment horizontal="left"/>
    </xf>
    <xf numFmtId="167" fontId="12" fillId="0" borderId="0" xfId="0" applyNumberFormat="1" applyFont="1" applyAlignment="1" applyProtection="1">
      <alignment horizontal="left"/>
    </xf>
    <xf numFmtId="4" fontId="0" fillId="0" borderId="0" xfId="0" applyNumberFormat="1"/>
    <xf numFmtId="3" fontId="0" fillId="0" borderId="0" xfId="1" applyNumberFormat="1" applyFont="1"/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wrapText="1"/>
    </xf>
    <xf numFmtId="49" fontId="4" fillId="0" borderId="0" xfId="0" applyNumberFormat="1" applyFont="1" applyAlignment="1" applyProtection="1">
      <alignment horizontal="right" wrapText="1"/>
    </xf>
    <xf numFmtId="49" fontId="4" fillId="0" borderId="0" xfId="0" applyNumberFormat="1" applyFont="1" applyAlignment="1" applyProtection="1"/>
    <xf numFmtId="49" fontId="11" fillId="0" borderId="5" xfId="0" applyNumberFormat="1" applyFont="1" applyBorder="1" applyAlignment="1" applyProtection="1">
      <alignment horizontal="right" wrapText="1"/>
    </xf>
    <xf numFmtId="49" fontId="11" fillId="0" borderId="5" xfId="0" applyNumberFormat="1" applyFont="1" applyBorder="1" applyAlignment="1" applyProtection="1">
      <alignment horizontal="right" vertical="top" wrapText="1"/>
    </xf>
    <xf numFmtId="49" fontId="11" fillId="0" borderId="7" xfId="0" applyNumberFormat="1" applyFont="1" applyBorder="1" applyAlignment="1" applyProtection="1">
      <alignment horizontal="right" wrapText="1"/>
    </xf>
    <xf numFmtId="49" fontId="10" fillId="0" borderId="0" xfId="0" applyNumberFormat="1" applyFont="1" applyAlignment="1" applyProtection="1"/>
    <xf numFmtId="0" fontId="10" fillId="0" borderId="0" xfId="0" applyFont="1"/>
    <xf numFmtId="0" fontId="14" fillId="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3" fillId="0" borderId="0" xfId="0" applyFont="1" applyAlignment="1" applyProtection="1"/>
    <xf numFmtId="0" fontId="16" fillId="3" borderId="9" xfId="0" applyFont="1" applyFill="1" applyBorder="1"/>
    <xf numFmtId="0" fontId="10" fillId="0" borderId="5" xfId="0" applyFont="1" applyFill="1" applyBorder="1" applyAlignment="1">
      <alignment horizontal="left" indent="1"/>
    </xf>
    <xf numFmtId="0" fontId="10" fillId="0" borderId="7" xfId="0" applyFont="1" applyFill="1" applyBorder="1" applyAlignment="1">
      <alignment horizontal="left" indent="1"/>
    </xf>
    <xf numFmtId="0" fontId="16" fillId="4" borderId="13" xfId="0" applyFont="1" applyFill="1" applyBorder="1" applyAlignment="1">
      <alignment horizontal="left" indent="1"/>
    </xf>
    <xf numFmtId="0" fontId="10" fillId="5" borderId="5" xfId="0" applyFont="1" applyFill="1" applyBorder="1" applyAlignment="1">
      <alignment horizontal="left" vertical="center" indent="2"/>
    </xf>
    <xf numFmtId="0" fontId="10" fillId="5" borderId="5" xfId="0" applyFont="1" applyFill="1" applyBorder="1" applyAlignment="1">
      <alignment horizontal="left" indent="2"/>
    </xf>
    <xf numFmtId="0" fontId="10" fillId="5" borderId="15" xfId="0" applyFont="1" applyFill="1" applyBorder="1" applyAlignment="1">
      <alignment horizontal="left" vertical="center" indent="2"/>
    </xf>
    <xf numFmtId="0" fontId="16" fillId="4" borderId="13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2"/>
    </xf>
    <xf numFmtId="0" fontId="10" fillId="5" borderId="5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1"/>
    </xf>
    <xf numFmtId="0" fontId="10" fillId="5" borderId="11" xfId="0" applyFont="1" applyFill="1" applyBorder="1" applyAlignment="1">
      <alignment horizontal="left" vertical="center" indent="2"/>
    </xf>
    <xf numFmtId="0" fontId="10" fillId="5" borderId="5" xfId="0" applyFont="1" applyFill="1" applyBorder="1" applyAlignment="1">
      <alignment horizontal="left" indent="1"/>
    </xf>
    <xf numFmtId="49" fontId="10" fillId="5" borderId="5" xfId="0" applyNumberFormat="1" applyFont="1" applyFill="1" applyBorder="1" applyAlignment="1">
      <alignment horizontal="left" vertical="center" wrapText="1" indent="2"/>
    </xf>
    <xf numFmtId="0" fontId="10" fillId="5" borderId="17" xfId="0" applyFont="1" applyFill="1" applyBorder="1" applyAlignment="1">
      <alignment horizontal="left" vertical="center" indent="1"/>
    </xf>
    <xf numFmtId="0" fontId="14" fillId="5" borderId="16" xfId="0" applyFont="1" applyFill="1" applyBorder="1" applyAlignment="1">
      <alignment horizontal="center"/>
    </xf>
    <xf numFmtId="49" fontId="4" fillId="0" borderId="18" xfId="0" applyNumberFormat="1" applyFont="1" applyBorder="1" applyAlignment="1" applyProtection="1">
      <alignment horizontal="right" wrapText="1"/>
    </xf>
    <xf numFmtId="49" fontId="15" fillId="0" borderId="19" xfId="0" applyNumberFormat="1" applyFont="1" applyBorder="1" applyAlignment="1" applyProtection="1">
      <alignment horizontal="right" wrapText="1"/>
    </xf>
    <xf numFmtId="0" fontId="17" fillId="0" borderId="0" xfId="0" applyFont="1" applyProtection="1"/>
    <xf numFmtId="0" fontId="10" fillId="5" borderId="5" xfId="0" applyFont="1" applyFill="1" applyBorder="1" applyAlignment="1">
      <alignment horizontal="left" vertical="center" wrapText="1" indent="2"/>
    </xf>
    <xf numFmtId="49" fontId="15" fillId="6" borderId="18" xfId="0" applyNumberFormat="1" applyFont="1" applyFill="1" applyBorder="1" applyAlignment="1" applyProtection="1">
      <alignment horizontal="right" wrapText="1"/>
    </xf>
    <xf numFmtId="166" fontId="15" fillId="6" borderId="2" xfId="0" applyNumberFormat="1" applyFont="1" applyFill="1" applyBorder="1" applyAlignment="1" applyProtection="1">
      <alignment horizontal="center"/>
    </xf>
    <xf numFmtId="165" fontId="15" fillId="0" borderId="19" xfId="0" applyNumberFormat="1" applyFont="1" applyFill="1" applyBorder="1" applyAlignment="1" applyProtection="1">
      <alignment horizontal="center"/>
    </xf>
    <xf numFmtId="166" fontId="12" fillId="0" borderId="2" xfId="0" applyNumberFormat="1" applyFont="1" applyBorder="1" applyAlignment="1" applyProtection="1">
      <alignment horizontal="center"/>
    </xf>
    <xf numFmtId="3" fontId="12" fillId="2" borderId="6" xfId="0" applyNumberFormat="1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top"/>
    </xf>
    <xf numFmtId="0" fontId="12" fillId="2" borderId="6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top" wrapText="1"/>
    </xf>
    <xf numFmtId="0" fontId="10" fillId="0" borderId="5" xfId="0" applyFont="1" applyBorder="1" applyAlignment="1">
      <alignment horizontal="left" indent="2"/>
    </xf>
    <xf numFmtId="0" fontId="14" fillId="0" borderId="11" xfId="0" applyFont="1" applyBorder="1" applyAlignment="1">
      <alignment horizontal="center"/>
    </xf>
    <xf numFmtId="0" fontId="15" fillId="0" borderId="0" xfId="0" applyFont="1" applyAlignment="1" applyProtection="1">
      <alignment horizontal="center"/>
    </xf>
    <xf numFmtId="0" fontId="6" fillId="7" borderId="0" xfId="0" applyFont="1" applyFill="1"/>
    <xf numFmtId="9" fontId="6" fillId="7" borderId="0" xfId="1" applyFont="1" applyFill="1"/>
    <xf numFmtId="3" fontId="6" fillId="7" borderId="0" xfId="0" applyNumberFormat="1" applyFont="1" applyFill="1"/>
    <xf numFmtId="164" fontId="6" fillId="7" borderId="0" xfId="0" applyNumberFormat="1" applyFont="1" applyFill="1"/>
    <xf numFmtId="1" fontId="0" fillId="0" borderId="0" xfId="0" applyNumberFormat="1"/>
    <xf numFmtId="0" fontId="6" fillId="7" borderId="0" xfId="0" applyFont="1" applyFill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3" fillId="6" borderId="1" xfId="0" applyNumberFormat="1" applyFont="1" applyFill="1" applyBorder="1" applyAlignment="1" applyProtection="1">
      <alignment horizontal="center"/>
    </xf>
    <xf numFmtId="49" fontId="3" fillId="6" borderId="2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18">
    <dxf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K36:R61" headerRowCount="0" totalsRowShown="0" headerRowDxfId="17" dataDxfId="16">
  <tableColumns count="8">
    <tableColumn id="1" xr3:uid="{00000000-0010-0000-0000-000001000000}" name="Solo finca" headerRowDxfId="15" dataDxfId="14"/>
    <tableColumn id="5" xr3:uid="{00000000-0010-0000-0000-000005000000}" name="Columna1" headerRowDxfId="13" dataDxfId="12"/>
    <tableColumn id="2" xr3:uid="{00000000-0010-0000-0000-000002000000}" name="Más mobiliario" headerRowDxfId="11" dataDxfId="10"/>
    <tableColumn id="6" xr3:uid="{00000000-0010-0000-0000-000006000000}" name="Columna2" headerRowDxfId="9" dataDxfId="8"/>
    <tableColumn id="3" xr3:uid="{00000000-0010-0000-0000-000003000000}" name="Más decoración" headerRowDxfId="7" dataDxfId="6"/>
    <tableColumn id="7" xr3:uid="{00000000-0010-0000-0000-000007000000}" name="Columna3" headerRowDxfId="5" dataDxfId="4"/>
    <tableColumn id="4" xr3:uid="{00000000-0010-0000-0000-000004000000}" name="Más catering" headerRowDxfId="3" dataDxfId="2"/>
    <tableColumn id="8" xr3:uid="{00000000-0010-0000-0000-000008000000}" name="Columna4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orde de resplandor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B13" sqref="B13"/>
    </sheetView>
  </sheetViews>
  <sheetFormatPr baseColWidth="10" defaultRowHeight="14.5" x14ac:dyDescent="0.35"/>
  <cols>
    <col min="1" max="1" width="25.453125" customWidth="1"/>
  </cols>
  <sheetData>
    <row r="1" spans="1:2" x14ac:dyDescent="0.35">
      <c r="B1" t="s">
        <v>8</v>
      </c>
    </row>
    <row r="2" spans="1:2" x14ac:dyDescent="0.35">
      <c r="A2" t="s">
        <v>3</v>
      </c>
      <c r="B2" s="2">
        <f>750+6*50</f>
        <v>1050</v>
      </c>
    </row>
    <row r="3" spans="1:2" x14ac:dyDescent="0.35">
      <c r="A3" t="s">
        <v>7</v>
      </c>
      <c r="B3" s="2"/>
    </row>
    <row r="4" spans="1:2" x14ac:dyDescent="0.35">
      <c r="A4" t="s">
        <v>6</v>
      </c>
      <c r="B4" s="2"/>
    </row>
    <row r="5" spans="1:2" x14ac:dyDescent="0.35">
      <c r="A5" t="s">
        <v>9</v>
      </c>
      <c r="B5" s="2"/>
    </row>
    <row r="6" spans="1:2" x14ac:dyDescent="0.35">
      <c r="A6" t="s">
        <v>0</v>
      </c>
      <c r="B6" s="2">
        <f>20*45+8*90</f>
        <v>1620</v>
      </c>
    </row>
    <row r="7" spans="1:2" x14ac:dyDescent="0.35">
      <c r="A7" t="s">
        <v>2</v>
      </c>
      <c r="B7" s="2">
        <v>500</v>
      </c>
    </row>
    <row r="8" spans="1:2" ht="15.5" x14ac:dyDescent="0.35">
      <c r="A8" s="3" t="s">
        <v>10</v>
      </c>
      <c r="B8" s="4">
        <f>SUM(B2:B7)</f>
        <v>3170</v>
      </c>
    </row>
    <row r="10" spans="1:2" x14ac:dyDescent="0.35">
      <c r="A10" t="s">
        <v>27</v>
      </c>
      <c r="B10">
        <v>10</v>
      </c>
    </row>
    <row r="11" spans="1:2" x14ac:dyDescent="0.35">
      <c r="A11" t="s">
        <v>28</v>
      </c>
      <c r="B11">
        <f>B8/10</f>
        <v>317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7"/>
  <sheetViews>
    <sheetView zoomScale="97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2" sqref="C42"/>
    </sheetView>
  </sheetViews>
  <sheetFormatPr baseColWidth="10" defaultRowHeight="14.5" x14ac:dyDescent="0.35"/>
  <cols>
    <col min="1" max="1" width="34.08984375" customWidth="1"/>
    <col min="2" max="2" width="6.90625" customWidth="1"/>
    <col min="5" max="5" width="13.08984375" bestFit="1" customWidth="1"/>
    <col min="6" max="6" width="13.08984375" customWidth="1"/>
    <col min="7" max="8" width="13.90625" bestFit="1" customWidth="1"/>
    <col min="10" max="10" width="14.6328125" customWidth="1"/>
    <col min="11" max="11" width="16.08984375" bestFit="1" customWidth="1"/>
    <col min="12" max="12" width="16.08984375" customWidth="1"/>
    <col min="13" max="14" width="17.7265625" customWidth="1"/>
    <col min="15" max="16" width="18" customWidth="1"/>
    <col min="17" max="17" width="16.08984375" bestFit="1" customWidth="1"/>
  </cols>
  <sheetData>
    <row r="1" spans="1:16" ht="18.5" x14ac:dyDescent="0.45">
      <c r="A1" s="10" t="s">
        <v>24</v>
      </c>
      <c r="B1" s="10" t="s">
        <v>11</v>
      </c>
      <c r="C1" s="10" t="s">
        <v>142</v>
      </c>
      <c r="D1" s="10" t="s">
        <v>5</v>
      </c>
      <c r="E1" s="10" t="s">
        <v>13</v>
      </c>
      <c r="F1" s="10" t="s">
        <v>64</v>
      </c>
      <c r="G1" s="10" t="s">
        <v>65</v>
      </c>
      <c r="H1" s="10" t="s">
        <v>38</v>
      </c>
    </row>
    <row r="2" spans="1:16" x14ac:dyDescent="0.35">
      <c r="A2" t="s">
        <v>44</v>
      </c>
      <c r="B2" s="2">
        <f>2200/1.1</f>
        <v>1999.9999999999998</v>
      </c>
      <c r="C2" s="2"/>
      <c r="D2" s="2">
        <f>B2*C2</f>
        <v>0</v>
      </c>
      <c r="E2" s="6"/>
      <c r="F2" s="6">
        <v>0.1</v>
      </c>
      <c r="G2" s="5">
        <f>D2*(1+E2)*(1+F2)</f>
        <v>0</v>
      </c>
      <c r="H2" s="2">
        <f>D2*(1+E2)</f>
        <v>0</v>
      </c>
      <c r="J2" s="8"/>
      <c r="K2" s="2"/>
      <c r="L2" s="2"/>
      <c r="M2" s="2"/>
      <c r="N2" s="2"/>
      <c r="O2" s="2"/>
      <c r="P2" s="2"/>
    </row>
    <row r="3" spans="1:16" x14ac:dyDescent="0.35">
      <c r="A3" t="s">
        <v>2</v>
      </c>
      <c r="B3" s="2">
        <v>150</v>
      </c>
      <c r="C3" s="81"/>
      <c r="D3" s="2">
        <f t="shared" ref="D3:D31" si="0">B3*C3</f>
        <v>0</v>
      </c>
      <c r="E3" s="6">
        <v>0.15</v>
      </c>
      <c r="F3" s="6">
        <v>0.21</v>
      </c>
      <c r="G3" s="5">
        <f>D3*(1+E3)*(1+F3)</f>
        <v>0</v>
      </c>
      <c r="H3" s="2">
        <f>D3*E3</f>
        <v>0</v>
      </c>
      <c r="J3" s="8"/>
      <c r="K3" s="2"/>
      <c r="L3" s="2"/>
      <c r="M3" s="2"/>
      <c r="N3" s="2"/>
      <c r="O3" s="2"/>
      <c r="P3" s="2"/>
    </row>
    <row r="4" spans="1:16" x14ac:dyDescent="0.35">
      <c r="A4" t="s">
        <v>45</v>
      </c>
      <c r="B4" s="2">
        <f>50</f>
        <v>50</v>
      </c>
      <c r="C4" s="17"/>
      <c r="D4" s="2">
        <f t="shared" si="0"/>
        <v>0</v>
      </c>
      <c r="E4" s="6">
        <v>0.15</v>
      </c>
      <c r="F4" s="6">
        <v>0.1</v>
      </c>
      <c r="G4" s="5">
        <f>D4*(1+E4)*(1+F4)</f>
        <v>0</v>
      </c>
      <c r="H4" s="2">
        <f t="shared" ref="H4:H31" si="1">D4*E4</f>
        <v>0</v>
      </c>
      <c r="J4" s="8"/>
      <c r="K4" s="2"/>
      <c r="L4" s="2"/>
      <c r="M4" s="2"/>
      <c r="N4" s="2"/>
      <c r="O4" s="2"/>
      <c r="P4" s="2"/>
    </row>
    <row r="5" spans="1:16" x14ac:dyDescent="0.35">
      <c r="A5" t="s">
        <v>49</v>
      </c>
      <c r="B5">
        <f>70+20</f>
        <v>90</v>
      </c>
      <c r="C5" s="17"/>
      <c r="D5" s="2">
        <f t="shared" si="0"/>
        <v>0</v>
      </c>
      <c r="E5" s="6">
        <v>0.15</v>
      </c>
      <c r="F5" s="6">
        <v>0.1</v>
      </c>
      <c r="G5" s="5">
        <f>D5*(1+E5)*(1+F5)</f>
        <v>0</v>
      </c>
      <c r="H5" s="2">
        <f t="shared" si="1"/>
        <v>0</v>
      </c>
      <c r="J5" s="8"/>
      <c r="K5" s="2"/>
      <c r="L5" s="2"/>
      <c r="M5" s="2"/>
      <c r="N5" s="2"/>
      <c r="O5" s="2"/>
      <c r="P5" s="2"/>
    </row>
    <row r="6" spans="1:16" x14ac:dyDescent="0.35">
      <c r="A6" t="s">
        <v>50</v>
      </c>
      <c r="B6">
        <f>85+20</f>
        <v>105</v>
      </c>
      <c r="C6" s="17"/>
      <c r="D6" s="2">
        <f t="shared" si="0"/>
        <v>0</v>
      </c>
      <c r="E6" s="6">
        <v>0.15</v>
      </c>
      <c r="F6" s="6">
        <v>0.1</v>
      </c>
      <c r="G6" s="5">
        <f>D6*(1+E6)*(1+F6)</f>
        <v>0</v>
      </c>
      <c r="H6" s="2">
        <f t="shared" si="1"/>
        <v>0</v>
      </c>
      <c r="J6" s="8"/>
      <c r="K6" s="2"/>
      <c r="L6" s="2"/>
      <c r="M6" s="2"/>
      <c r="N6" s="2"/>
      <c r="O6" s="2"/>
      <c r="P6" s="2"/>
    </row>
    <row r="7" spans="1:16" x14ac:dyDescent="0.35">
      <c r="A7" t="s">
        <v>51</v>
      </c>
      <c r="B7">
        <f>105+20</f>
        <v>125</v>
      </c>
      <c r="C7" s="17"/>
      <c r="D7" s="2">
        <f t="shared" si="0"/>
        <v>0</v>
      </c>
      <c r="E7" s="6">
        <v>0.15</v>
      </c>
      <c r="F7" s="6">
        <v>0.1</v>
      </c>
      <c r="G7" s="5">
        <f>D7*(1+E7)*(1+F7)</f>
        <v>0</v>
      </c>
      <c r="H7" s="2">
        <f t="shared" si="1"/>
        <v>0</v>
      </c>
      <c r="J7" s="8"/>
      <c r="K7" s="2"/>
      <c r="L7" s="2"/>
      <c r="M7" s="2"/>
      <c r="N7" s="2"/>
      <c r="O7" s="2"/>
      <c r="P7" s="2"/>
    </row>
    <row r="8" spans="1:16" x14ac:dyDescent="0.35">
      <c r="A8" t="s">
        <v>114</v>
      </c>
      <c r="B8">
        <f>B5-35</f>
        <v>55</v>
      </c>
      <c r="C8" s="17"/>
      <c r="D8" s="2">
        <f t="shared" si="0"/>
        <v>0</v>
      </c>
      <c r="E8" s="6">
        <v>0.15</v>
      </c>
      <c r="F8" s="6">
        <v>0.1</v>
      </c>
      <c r="G8" s="5">
        <f>D8*(1+E8)*(1+F8)</f>
        <v>0</v>
      </c>
      <c r="H8" s="2">
        <f t="shared" si="1"/>
        <v>0</v>
      </c>
      <c r="J8" s="8"/>
      <c r="K8" s="2"/>
      <c r="L8" s="2"/>
      <c r="M8" s="2"/>
      <c r="N8" s="2"/>
      <c r="O8" s="2"/>
      <c r="P8" s="2"/>
    </row>
    <row r="9" spans="1:16" x14ac:dyDescent="0.35">
      <c r="A9" t="s">
        <v>115</v>
      </c>
      <c r="B9">
        <f t="shared" ref="B9:B10" si="2">B6-35</f>
        <v>70</v>
      </c>
      <c r="C9" s="17"/>
      <c r="D9" s="2">
        <f t="shared" si="0"/>
        <v>0</v>
      </c>
      <c r="E9" s="6">
        <v>0.15</v>
      </c>
      <c r="F9" s="6">
        <v>0.1</v>
      </c>
      <c r="G9" s="5">
        <f>D9*(1+E9)*(1+F9)</f>
        <v>0</v>
      </c>
      <c r="H9" s="2">
        <f t="shared" si="1"/>
        <v>0</v>
      </c>
      <c r="J9" s="8"/>
      <c r="K9" s="2"/>
      <c r="L9" s="2"/>
      <c r="M9" s="2"/>
      <c r="N9" s="2"/>
      <c r="O9" s="2"/>
      <c r="P9" s="2"/>
    </row>
    <row r="10" spans="1:16" x14ac:dyDescent="0.35">
      <c r="A10" t="s">
        <v>116</v>
      </c>
      <c r="B10">
        <f t="shared" si="2"/>
        <v>90</v>
      </c>
      <c r="C10" s="17"/>
      <c r="D10" s="2">
        <f t="shared" si="0"/>
        <v>0</v>
      </c>
      <c r="E10" s="6">
        <v>0.15</v>
      </c>
      <c r="F10" s="6">
        <v>0.1</v>
      </c>
      <c r="G10" s="5">
        <f>D10*(1+E10)*(1+F10)</f>
        <v>0</v>
      </c>
      <c r="H10" s="2">
        <f t="shared" si="1"/>
        <v>0</v>
      </c>
      <c r="J10" s="8"/>
      <c r="K10" s="2"/>
      <c r="L10" s="2"/>
      <c r="M10" s="2"/>
      <c r="N10" s="2"/>
      <c r="O10" s="2"/>
      <c r="P10" s="2"/>
    </row>
    <row r="11" spans="1:16" x14ac:dyDescent="0.35">
      <c r="A11" t="s">
        <v>118</v>
      </c>
      <c r="B11">
        <v>16</v>
      </c>
      <c r="C11" s="17"/>
      <c r="D11" s="2">
        <f t="shared" si="0"/>
        <v>0</v>
      </c>
      <c r="E11" s="6">
        <v>0.15</v>
      </c>
      <c r="F11" s="6">
        <v>0.1</v>
      </c>
      <c r="G11" s="5">
        <f>D11*(1+E11)*(1+F11)</f>
        <v>0</v>
      </c>
      <c r="H11" s="2">
        <f t="shared" si="1"/>
        <v>0</v>
      </c>
      <c r="J11" s="8"/>
      <c r="K11" s="2"/>
      <c r="L11" s="2"/>
      <c r="M11" s="2"/>
      <c r="N11" s="2"/>
      <c r="O11" s="2"/>
      <c r="P11" s="2"/>
    </row>
    <row r="12" spans="1:16" x14ac:dyDescent="0.35">
      <c r="A12" t="s">
        <v>37</v>
      </c>
      <c r="B12">
        <f>7.5</f>
        <v>7.5</v>
      </c>
      <c r="C12" s="17"/>
      <c r="D12" s="2">
        <f t="shared" si="0"/>
        <v>0</v>
      </c>
      <c r="E12" s="6">
        <v>0.15</v>
      </c>
      <c r="F12" s="6">
        <v>0.1</v>
      </c>
      <c r="G12" s="5">
        <f>D12*(1+E12)*(1+F12)</f>
        <v>0</v>
      </c>
      <c r="H12" s="2">
        <f t="shared" si="1"/>
        <v>0</v>
      </c>
      <c r="K12" s="2"/>
      <c r="L12" s="2"/>
      <c r="M12" s="2"/>
      <c r="N12" s="2"/>
      <c r="O12" s="2"/>
      <c r="P12" s="2"/>
    </row>
    <row r="13" spans="1:16" x14ac:dyDescent="0.35">
      <c r="A13" t="s">
        <v>141</v>
      </c>
      <c r="B13">
        <v>10</v>
      </c>
      <c r="C13" s="17"/>
      <c r="D13" s="2">
        <f t="shared" si="0"/>
        <v>0</v>
      </c>
      <c r="E13" s="6">
        <v>0.15</v>
      </c>
      <c r="F13" s="6">
        <v>0.21</v>
      </c>
      <c r="G13" s="5">
        <f>D13*(1+E13)*(1+F13)</f>
        <v>0</v>
      </c>
      <c r="H13" s="2">
        <f t="shared" si="1"/>
        <v>0</v>
      </c>
    </row>
    <row r="14" spans="1:16" x14ac:dyDescent="0.35">
      <c r="A14" t="s">
        <v>143</v>
      </c>
      <c r="B14">
        <v>250</v>
      </c>
      <c r="C14" s="17"/>
      <c r="D14" s="2">
        <f t="shared" si="0"/>
        <v>0</v>
      </c>
      <c r="E14" s="6"/>
      <c r="F14" s="6">
        <v>0.21</v>
      </c>
      <c r="G14" s="5">
        <f>D14*(1+E14)*(1+F14)</f>
        <v>0</v>
      </c>
      <c r="H14" s="2">
        <f>D14</f>
        <v>0</v>
      </c>
    </row>
    <row r="15" spans="1:16" x14ac:dyDescent="0.35">
      <c r="A15" t="s">
        <v>113</v>
      </c>
      <c r="B15">
        <v>120</v>
      </c>
      <c r="C15" s="17"/>
      <c r="D15" s="2">
        <f t="shared" si="0"/>
        <v>0</v>
      </c>
      <c r="E15" s="6">
        <v>0.15</v>
      </c>
      <c r="F15" s="6">
        <v>0.1</v>
      </c>
      <c r="G15" s="5">
        <f>D15*(1+E15)*(1+F15)</f>
        <v>0</v>
      </c>
      <c r="H15" s="2">
        <f t="shared" si="1"/>
        <v>0</v>
      </c>
      <c r="K15" s="2"/>
      <c r="L15" s="2"/>
      <c r="M15" s="2"/>
      <c r="N15" s="2"/>
      <c r="O15" s="2"/>
      <c r="P15" s="2"/>
    </row>
    <row r="16" spans="1:16" x14ac:dyDescent="0.35">
      <c r="A16" t="s">
        <v>43</v>
      </c>
      <c r="B16" s="20">
        <f>154/140</f>
        <v>1.1000000000000001</v>
      </c>
      <c r="C16" s="17"/>
      <c r="D16" s="2">
        <f t="shared" si="0"/>
        <v>0</v>
      </c>
      <c r="E16" s="6">
        <v>0.15</v>
      </c>
      <c r="F16" s="6">
        <v>0.21</v>
      </c>
      <c r="G16" s="5">
        <f>D16*(1+E16)*(1+F16)</f>
        <v>0</v>
      </c>
      <c r="H16" s="2">
        <f t="shared" si="1"/>
        <v>0</v>
      </c>
      <c r="K16" s="2"/>
      <c r="L16" s="2"/>
      <c r="M16" s="2"/>
      <c r="N16" s="2"/>
      <c r="O16" s="2"/>
      <c r="P16" s="2"/>
    </row>
    <row r="17" spans="1:16" x14ac:dyDescent="0.35">
      <c r="A17" t="s">
        <v>42</v>
      </c>
      <c r="B17" s="5">
        <v>5</v>
      </c>
      <c r="C17" s="17"/>
      <c r="D17" s="2">
        <f t="shared" si="0"/>
        <v>0</v>
      </c>
      <c r="E17" s="6">
        <v>0.15</v>
      </c>
      <c r="F17" s="6">
        <v>0.21</v>
      </c>
      <c r="G17" s="5">
        <f>D17*(1+E17)*(1+F17)</f>
        <v>0</v>
      </c>
      <c r="H17" s="2">
        <f t="shared" si="1"/>
        <v>0</v>
      </c>
      <c r="J17" s="2"/>
      <c r="K17" s="2"/>
      <c r="L17" s="2"/>
      <c r="M17" s="2"/>
      <c r="N17" s="2"/>
      <c r="O17" s="2"/>
      <c r="P17" s="2"/>
    </row>
    <row r="18" spans="1:16" x14ac:dyDescent="0.35">
      <c r="A18" t="s">
        <v>58</v>
      </c>
      <c r="B18" s="5">
        <f>108/12</f>
        <v>9</v>
      </c>
      <c r="C18" s="17"/>
      <c r="D18" s="2">
        <f t="shared" si="0"/>
        <v>0</v>
      </c>
      <c r="E18" s="6">
        <v>0.15</v>
      </c>
      <c r="F18" s="6">
        <v>0.21</v>
      </c>
      <c r="G18" s="5">
        <f>D18*(1+E18)*(1+F18)</f>
        <v>0</v>
      </c>
      <c r="H18" s="2">
        <f t="shared" si="1"/>
        <v>0</v>
      </c>
      <c r="J18" s="2"/>
      <c r="K18" s="2"/>
      <c r="L18" s="2"/>
      <c r="M18" s="2"/>
      <c r="N18" s="2"/>
      <c r="O18" s="2"/>
      <c r="P18" s="2"/>
    </row>
    <row r="19" spans="1:16" x14ac:dyDescent="0.35">
      <c r="A19" t="s">
        <v>20</v>
      </c>
      <c r="B19" s="5">
        <v>9</v>
      </c>
      <c r="C19" s="17"/>
      <c r="D19" s="2">
        <f t="shared" si="0"/>
        <v>0</v>
      </c>
      <c r="E19" s="6">
        <v>0.15</v>
      </c>
      <c r="F19" s="6">
        <v>0.21</v>
      </c>
      <c r="G19" s="5">
        <f>D19*(1+E19)*(1+F19)</f>
        <v>0</v>
      </c>
      <c r="H19" s="2">
        <f t="shared" si="1"/>
        <v>0</v>
      </c>
      <c r="J19" s="2"/>
      <c r="K19" s="2"/>
      <c r="L19" s="2"/>
      <c r="M19" s="2"/>
      <c r="N19" s="2"/>
      <c r="O19" s="2"/>
      <c r="P19" s="2"/>
    </row>
    <row r="20" spans="1:16" x14ac:dyDescent="0.35">
      <c r="A20" t="s">
        <v>59</v>
      </c>
      <c r="B20" s="5">
        <f>108/12</f>
        <v>9</v>
      </c>
      <c r="C20" s="17"/>
      <c r="D20" s="2">
        <f t="shared" si="0"/>
        <v>0</v>
      </c>
      <c r="E20" s="6">
        <v>0.15</v>
      </c>
      <c r="F20" s="6">
        <v>0.21</v>
      </c>
      <c r="G20" s="5">
        <f>D20*(1+E20)*(1+F20)</f>
        <v>0</v>
      </c>
      <c r="H20" s="2">
        <f t="shared" si="1"/>
        <v>0</v>
      </c>
      <c r="J20" s="2"/>
      <c r="K20" s="2"/>
      <c r="L20" s="2"/>
      <c r="M20" s="2"/>
      <c r="N20" s="2"/>
      <c r="O20" s="2"/>
      <c r="P20" s="2"/>
    </row>
    <row r="21" spans="1:16" x14ac:dyDescent="0.35">
      <c r="A21" t="s">
        <v>22</v>
      </c>
      <c r="B21" s="2">
        <v>9</v>
      </c>
      <c r="C21" s="17"/>
      <c r="D21" s="2">
        <f t="shared" si="0"/>
        <v>0</v>
      </c>
      <c r="E21" s="6">
        <v>0.15</v>
      </c>
      <c r="F21" s="6">
        <v>0.21</v>
      </c>
      <c r="G21" s="5">
        <f>D21*(1+E21)*(1+F21)</f>
        <v>0</v>
      </c>
      <c r="H21" s="2">
        <f t="shared" si="1"/>
        <v>0</v>
      </c>
      <c r="J21" s="2"/>
      <c r="K21" s="2"/>
      <c r="L21" s="2"/>
      <c r="M21" s="2"/>
      <c r="N21" s="2"/>
      <c r="O21" s="2"/>
      <c r="P21" s="2"/>
    </row>
    <row r="22" spans="1:16" x14ac:dyDescent="0.35">
      <c r="A22" t="s">
        <v>23</v>
      </c>
      <c r="B22" s="5">
        <f>70/140</f>
        <v>0.5</v>
      </c>
      <c r="C22" s="17"/>
      <c r="D22" s="2">
        <f t="shared" si="0"/>
        <v>0</v>
      </c>
      <c r="E22" s="6">
        <v>0.15</v>
      </c>
      <c r="F22" s="6">
        <v>0.21</v>
      </c>
      <c r="G22" s="5">
        <f>D22*(1+E22)*(1+F22)</f>
        <v>0</v>
      </c>
      <c r="H22" s="2">
        <f t="shared" si="1"/>
        <v>0</v>
      </c>
      <c r="J22" s="2"/>
      <c r="K22" s="2"/>
      <c r="L22" s="2"/>
      <c r="M22" s="2"/>
      <c r="N22" s="2"/>
      <c r="O22" s="2"/>
      <c r="P22" s="2"/>
    </row>
    <row r="23" spans="1:16" x14ac:dyDescent="0.35">
      <c r="A23" t="s">
        <v>12</v>
      </c>
      <c r="B23" s="2">
        <f>140</f>
        <v>140</v>
      </c>
      <c r="C23" s="17"/>
      <c r="D23" s="2">
        <f t="shared" si="0"/>
        <v>0</v>
      </c>
      <c r="E23" s="6">
        <v>0.15</v>
      </c>
      <c r="F23" s="6">
        <v>0.21</v>
      </c>
      <c r="G23" s="5">
        <f>D23*(1+E23)*(1+F23)</f>
        <v>0</v>
      </c>
      <c r="H23" s="2">
        <f t="shared" si="1"/>
        <v>0</v>
      </c>
      <c r="J23" s="2"/>
      <c r="K23" s="2"/>
      <c r="L23" s="2"/>
      <c r="M23" s="2"/>
      <c r="N23" s="2"/>
      <c r="O23" s="2"/>
      <c r="P23" s="2"/>
    </row>
    <row r="24" spans="1:16" x14ac:dyDescent="0.35">
      <c r="A24" t="s">
        <v>60</v>
      </c>
      <c r="B24" s="2">
        <f>400/1.21</f>
        <v>330.57851239669424</v>
      </c>
      <c r="C24" s="17"/>
      <c r="D24" s="2">
        <f t="shared" si="0"/>
        <v>0</v>
      </c>
      <c r="E24" s="6">
        <v>0.15</v>
      </c>
      <c r="F24" s="6">
        <v>0.21</v>
      </c>
      <c r="G24" s="5">
        <f>D24*(1+E24)*(1+F24)</f>
        <v>0</v>
      </c>
      <c r="H24" s="2">
        <f t="shared" si="1"/>
        <v>0</v>
      </c>
      <c r="J24" s="2"/>
      <c r="K24" s="2"/>
      <c r="L24" s="2"/>
      <c r="M24" s="2"/>
      <c r="N24" s="2"/>
      <c r="O24" s="2"/>
      <c r="P24" s="2"/>
    </row>
    <row r="25" spans="1:16" x14ac:dyDescent="0.35">
      <c r="A25" t="s">
        <v>130</v>
      </c>
      <c r="B25" s="2">
        <v>300</v>
      </c>
      <c r="C25" s="17"/>
      <c r="D25" s="2">
        <f t="shared" si="0"/>
        <v>0</v>
      </c>
      <c r="E25" s="6"/>
      <c r="F25" s="6">
        <v>0.21</v>
      </c>
      <c r="G25" s="5">
        <f>D25*(1+E25)*(1+F25)</f>
        <v>0</v>
      </c>
      <c r="H25" s="2">
        <f t="shared" si="1"/>
        <v>0</v>
      </c>
      <c r="J25" s="2"/>
      <c r="K25" s="2"/>
      <c r="L25" s="2"/>
      <c r="M25" s="2"/>
      <c r="N25" s="2"/>
      <c r="O25" s="2"/>
      <c r="P25" s="2"/>
    </row>
    <row r="26" spans="1:16" x14ac:dyDescent="0.35">
      <c r="A26" t="s">
        <v>117</v>
      </c>
      <c r="B26" s="2">
        <v>150</v>
      </c>
      <c r="C26" s="17"/>
      <c r="D26" s="2">
        <v>0</v>
      </c>
      <c r="E26" s="6">
        <v>0.15</v>
      </c>
      <c r="F26" s="6">
        <v>0.21</v>
      </c>
      <c r="G26" s="5">
        <f>D26*(1+E26)*(1+F26)</f>
        <v>0</v>
      </c>
      <c r="H26" s="2">
        <f t="shared" si="1"/>
        <v>0</v>
      </c>
    </row>
    <row r="27" spans="1:16" x14ac:dyDescent="0.35">
      <c r="A27" t="s">
        <v>127</v>
      </c>
      <c r="B27" s="2">
        <v>500</v>
      </c>
      <c r="C27" s="17"/>
      <c r="D27" s="2">
        <f t="shared" si="0"/>
        <v>0</v>
      </c>
      <c r="E27" s="6">
        <v>0.15</v>
      </c>
      <c r="F27" s="6">
        <v>0.21</v>
      </c>
      <c r="G27" s="5">
        <f>D27*(1+E27)*(1+F27)</f>
        <v>0</v>
      </c>
      <c r="H27" s="2">
        <f t="shared" si="1"/>
        <v>0</v>
      </c>
    </row>
    <row r="28" spans="1:16" x14ac:dyDescent="0.35">
      <c r="A28" t="s">
        <v>32</v>
      </c>
      <c r="B28" s="2">
        <v>500</v>
      </c>
      <c r="C28" s="17"/>
      <c r="D28" s="2">
        <f t="shared" si="0"/>
        <v>0</v>
      </c>
      <c r="E28" s="6"/>
      <c r="F28" s="6">
        <v>0.21</v>
      </c>
      <c r="G28" s="5">
        <f>D28*(1+E28)*(1+F28)</f>
        <v>0</v>
      </c>
      <c r="H28" s="2">
        <f>D28</f>
        <v>0</v>
      </c>
    </row>
    <row r="29" spans="1:16" x14ac:dyDescent="0.35">
      <c r="A29" t="s">
        <v>30</v>
      </c>
      <c r="B29">
        <v>125</v>
      </c>
      <c r="C29" s="17"/>
      <c r="D29" s="2">
        <f t="shared" si="0"/>
        <v>0</v>
      </c>
      <c r="E29" s="6">
        <v>0.15</v>
      </c>
      <c r="F29" s="6">
        <v>0.21</v>
      </c>
      <c r="G29" s="5">
        <f>D29*(1+E29)*(1+F29)</f>
        <v>0</v>
      </c>
      <c r="H29" s="2">
        <f t="shared" si="1"/>
        <v>0</v>
      </c>
    </row>
    <row r="30" spans="1:16" x14ac:dyDescent="0.35">
      <c r="A30" t="s">
        <v>39</v>
      </c>
      <c r="B30" s="2">
        <v>150</v>
      </c>
      <c r="C30" s="17"/>
      <c r="D30" s="2">
        <f t="shared" si="0"/>
        <v>0</v>
      </c>
      <c r="E30" s="6">
        <v>0.15</v>
      </c>
      <c r="F30" s="6">
        <v>0.21</v>
      </c>
      <c r="G30" s="5">
        <f>D30*(1+E30)*(1+F30)</f>
        <v>0</v>
      </c>
      <c r="H30" s="2">
        <f t="shared" si="1"/>
        <v>0</v>
      </c>
    </row>
    <row r="31" spans="1:16" x14ac:dyDescent="0.35">
      <c r="A31" t="s">
        <v>31</v>
      </c>
      <c r="B31">
        <v>175</v>
      </c>
      <c r="C31" s="17"/>
      <c r="D31" s="2">
        <f t="shared" si="0"/>
        <v>0</v>
      </c>
      <c r="E31" s="6">
        <v>0.15</v>
      </c>
      <c r="F31" s="6">
        <v>0.21</v>
      </c>
      <c r="G31" s="5">
        <f>D31*(1+E31)*(1+F31)</f>
        <v>0</v>
      </c>
      <c r="H31" s="2">
        <f t="shared" si="1"/>
        <v>0</v>
      </c>
    </row>
    <row r="32" spans="1:16" s="10" customFormat="1" ht="18.5" x14ac:dyDescent="0.45">
      <c r="A32" s="77" t="s">
        <v>10</v>
      </c>
      <c r="B32" s="77"/>
      <c r="C32" s="78"/>
      <c r="D32" s="79">
        <f>SUM(D2:D31)</f>
        <v>0</v>
      </c>
      <c r="E32" s="78"/>
      <c r="F32" s="78"/>
      <c r="G32" s="80">
        <f>SUM(G2:G31)</f>
        <v>0</v>
      </c>
      <c r="H32" s="80">
        <f>SUM(H2:H31)</f>
        <v>0</v>
      </c>
    </row>
    <row r="33" spans="1:24" x14ac:dyDescent="0.35">
      <c r="C33" s="6"/>
      <c r="D33" s="2"/>
      <c r="E33" s="6"/>
      <c r="F33" s="6"/>
      <c r="G33" s="6"/>
      <c r="H33" s="5"/>
      <c r="I33" s="2"/>
    </row>
    <row r="34" spans="1:24" ht="15" thickBot="1" x14ac:dyDescent="0.4"/>
    <row r="35" spans="1:24" ht="21" x14ac:dyDescent="0.5">
      <c r="A35" s="11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83" t="s">
        <v>69</v>
      </c>
      <c r="L35" s="84"/>
      <c r="M35" s="83" t="s">
        <v>61</v>
      </c>
      <c r="N35" s="84"/>
      <c r="O35" s="83" t="s">
        <v>62</v>
      </c>
      <c r="P35" s="84"/>
      <c r="Q35" s="83" t="s">
        <v>63</v>
      </c>
      <c r="R35" s="84"/>
      <c r="S35" s="2"/>
      <c r="T35" s="2"/>
      <c r="U35" s="2"/>
      <c r="V35" s="2"/>
      <c r="W35" s="2"/>
      <c r="X35" s="2"/>
    </row>
    <row r="36" spans="1:24" ht="18.5" x14ac:dyDescent="0.45">
      <c r="B36" s="10" t="s">
        <v>11</v>
      </c>
      <c r="C36" s="10" t="s">
        <v>13</v>
      </c>
      <c r="D36" s="10" t="s">
        <v>66</v>
      </c>
      <c r="E36" s="10" t="s">
        <v>64</v>
      </c>
      <c r="F36" s="10" t="s">
        <v>65</v>
      </c>
      <c r="G36" s="10" t="s">
        <v>38</v>
      </c>
      <c r="I36" s="10"/>
      <c r="K36" s="22" t="s">
        <v>67</v>
      </c>
      <c r="L36" s="23" t="s">
        <v>68</v>
      </c>
      <c r="M36" s="22" t="s">
        <v>67</v>
      </c>
      <c r="N36" s="23" t="s">
        <v>68</v>
      </c>
      <c r="O36" s="22" t="s">
        <v>67</v>
      </c>
      <c r="P36" s="23" t="s">
        <v>68</v>
      </c>
      <c r="Q36" s="22" t="s">
        <v>67</v>
      </c>
      <c r="R36" s="23" t="s">
        <v>68</v>
      </c>
    </row>
    <row r="37" spans="1:24" x14ac:dyDescent="0.35">
      <c r="A37" s="12" t="s">
        <v>4</v>
      </c>
      <c r="B37" s="2">
        <f>B2</f>
        <v>1999.9999999999998</v>
      </c>
      <c r="C37" s="6">
        <v>0</v>
      </c>
      <c r="D37" s="6">
        <v>0.1</v>
      </c>
      <c r="E37" s="21">
        <f>B37+(B37*C37)</f>
        <v>1999.9999999999998</v>
      </c>
      <c r="F37" s="5">
        <f>E37+(E37*D37)</f>
        <v>2200</v>
      </c>
      <c r="G37" s="2">
        <f>E37</f>
        <v>1999.9999999999998</v>
      </c>
      <c r="I37" s="2"/>
      <c r="J37" s="2"/>
      <c r="K37" s="24">
        <f>E37</f>
        <v>1999.9999999999998</v>
      </c>
      <c r="L37" s="25">
        <f>F37</f>
        <v>2200</v>
      </c>
      <c r="M37" s="24">
        <f>E37</f>
        <v>1999.9999999999998</v>
      </c>
      <c r="N37" s="25">
        <f>F37</f>
        <v>2200</v>
      </c>
      <c r="O37" s="24">
        <f>E37</f>
        <v>1999.9999999999998</v>
      </c>
      <c r="P37" s="25">
        <f>F37</f>
        <v>2200</v>
      </c>
      <c r="Q37" s="24">
        <f>2000/1.21</f>
        <v>1652.8925619834711</v>
      </c>
      <c r="R37" s="25">
        <f>Tabla1[[#This Row],[Más catering]]*1.21</f>
        <v>2000</v>
      </c>
      <c r="S37" s="2"/>
      <c r="T37" s="2"/>
      <c r="U37" s="2"/>
      <c r="V37" s="2"/>
      <c r="W37" s="2"/>
      <c r="X37" s="2"/>
    </row>
    <row r="38" spans="1:24" x14ac:dyDescent="0.35">
      <c r="A38" s="12" t="s">
        <v>1</v>
      </c>
      <c r="B38" s="2">
        <f>IF(B37=0,#REF!,0)</f>
        <v>0</v>
      </c>
      <c r="C38" s="6">
        <v>0</v>
      </c>
      <c r="D38" s="6">
        <v>0.1</v>
      </c>
      <c r="E38" s="21">
        <f t="shared" ref="E38:E60" si="3">B38+(B38*C38)</f>
        <v>0</v>
      </c>
      <c r="F38" s="5">
        <f>E38+(E38*D38)</f>
        <v>0</v>
      </c>
      <c r="G38" s="2">
        <f>E38</f>
        <v>0</v>
      </c>
      <c r="I38" s="2"/>
      <c r="J38" s="2"/>
      <c r="K38" s="24"/>
      <c r="L38" s="25"/>
      <c r="M38" s="24"/>
      <c r="N38" s="25"/>
      <c r="O38" s="24"/>
      <c r="P38" s="25"/>
      <c r="Q38" s="24"/>
      <c r="R38" s="25"/>
      <c r="S38" s="2"/>
      <c r="T38" s="2"/>
      <c r="U38" s="2"/>
      <c r="V38" s="2"/>
      <c r="W38" s="2"/>
      <c r="X38" s="2"/>
    </row>
    <row r="39" spans="1:24" x14ac:dyDescent="0.35">
      <c r="A39" s="12" t="s">
        <v>2</v>
      </c>
      <c r="B39" s="2">
        <f>B3</f>
        <v>150</v>
      </c>
      <c r="C39" s="6">
        <v>0</v>
      </c>
      <c r="D39" s="6">
        <v>0.1</v>
      </c>
      <c r="E39" s="21">
        <f t="shared" ref="E39" si="4">B39+(B39*C39)</f>
        <v>150</v>
      </c>
      <c r="F39" s="5">
        <f>E39+(E39*D39)</f>
        <v>165</v>
      </c>
      <c r="G39" s="2">
        <f>E39</f>
        <v>150</v>
      </c>
      <c r="I39" s="2"/>
      <c r="J39" s="2"/>
      <c r="K39" s="24"/>
      <c r="L39" s="25"/>
      <c r="M39" s="24"/>
      <c r="N39" s="25"/>
      <c r="O39" s="24"/>
      <c r="P39" s="25"/>
      <c r="Q39" s="24"/>
      <c r="R39" s="25"/>
      <c r="S39" s="2"/>
      <c r="T39" s="2"/>
      <c r="U39" s="2"/>
      <c r="V39" s="2"/>
      <c r="W39" s="2"/>
      <c r="X39" s="2"/>
    </row>
    <row r="40" spans="1:24" x14ac:dyDescent="0.35">
      <c r="A40" s="12" t="s">
        <v>74</v>
      </c>
      <c r="B40" s="2">
        <f>IF(Configurador!C7="No",0,IF(Configurador!C7="Albahaca",B5*Configurador!C4,IF(Configurador!C7="Eneldo",B6*Configurador!C4,B7*Configurador!C4)))</f>
        <v>2520</v>
      </c>
      <c r="C40" s="6">
        <v>0.15</v>
      </c>
      <c r="D40" s="6">
        <v>0.1</v>
      </c>
      <c r="E40" s="21">
        <f t="shared" si="3"/>
        <v>2898</v>
      </c>
      <c r="F40" s="5">
        <f>E40+(E40*D40)</f>
        <v>3187.8</v>
      </c>
      <c r="G40" s="2">
        <f>E40-B40</f>
        <v>378</v>
      </c>
      <c r="I40" s="2"/>
      <c r="J40" s="2"/>
      <c r="K40" s="24"/>
      <c r="L40" s="25"/>
      <c r="M40" s="24"/>
      <c r="N40" s="25"/>
      <c r="O40" s="24"/>
      <c r="P40" s="25"/>
      <c r="Q40" s="24">
        <f>E40</f>
        <v>2898</v>
      </c>
      <c r="R40" s="25">
        <f>F40</f>
        <v>3187.8</v>
      </c>
      <c r="S40" s="2"/>
      <c r="T40" s="2"/>
      <c r="U40" s="2"/>
      <c r="V40" s="2"/>
      <c r="W40" s="2"/>
      <c r="X40" s="2"/>
    </row>
    <row r="41" spans="1:24" x14ac:dyDescent="0.35">
      <c r="A41" s="12" t="s">
        <v>75</v>
      </c>
      <c r="B41" s="2">
        <f>IF(Configurador!C7="No",0,IF(Configurador!C7="Albahaca",B8*Configurador!C5,IF(Configurador!C7="Eneldo",B9*Configurador!C5,B10*Configurador!C5)))</f>
        <v>0</v>
      </c>
      <c r="C41" s="6">
        <v>0.15</v>
      </c>
      <c r="D41" s="6">
        <v>0.1</v>
      </c>
      <c r="E41" s="21">
        <f t="shared" ref="E41:E42" si="5">B41+(B41*C41)</f>
        <v>0</v>
      </c>
      <c r="F41" s="5">
        <f>E41+(E41*D41)</f>
        <v>0</v>
      </c>
      <c r="G41" s="2">
        <f>E41-B41</f>
        <v>0</v>
      </c>
      <c r="I41" s="2"/>
      <c r="J41" s="2"/>
      <c r="K41" s="24"/>
      <c r="L41" s="25"/>
      <c r="M41" s="24"/>
      <c r="N41" s="25"/>
      <c r="O41" s="24"/>
      <c r="P41" s="25"/>
      <c r="Q41" s="24"/>
      <c r="R41" s="25"/>
      <c r="S41" s="2"/>
      <c r="T41" s="2"/>
      <c r="U41" s="2"/>
      <c r="V41" s="2"/>
      <c r="W41" s="2"/>
      <c r="X41" s="2"/>
    </row>
    <row r="42" spans="1:24" x14ac:dyDescent="0.35">
      <c r="A42" s="12" t="s">
        <v>120</v>
      </c>
      <c r="B42" s="2">
        <f>B11*Configurador!C6</f>
        <v>0</v>
      </c>
      <c r="C42" s="6">
        <v>0.15</v>
      </c>
      <c r="D42" s="6">
        <v>0.1</v>
      </c>
      <c r="E42" s="21">
        <f t="shared" si="5"/>
        <v>0</v>
      </c>
      <c r="F42" s="5">
        <f>E42+(E42*D42)</f>
        <v>0</v>
      </c>
      <c r="G42" s="2">
        <f>E42-B42</f>
        <v>0</v>
      </c>
      <c r="I42" s="2"/>
      <c r="J42" s="2"/>
      <c r="K42" s="24"/>
      <c r="L42" s="25"/>
      <c r="M42" s="24"/>
      <c r="N42" s="25"/>
      <c r="O42" s="24"/>
      <c r="P42" s="25"/>
      <c r="Q42" s="24"/>
      <c r="R42" s="25"/>
      <c r="S42" s="2"/>
      <c r="T42" s="2"/>
      <c r="U42" s="2"/>
      <c r="V42" s="2"/>
      <c r="W42" s="2"/>
      <c r="X42" s="2"/>
    </row>
    <row r="43" spans="1:24" x14ac:dyDescent="0.35">
      <c r="A43" s="12" t="s">
        <v>37</v>
      </c>
      <c r="B43" s="2">
        <f>IF(Configurador!C8=0,0,Configurador!C8*Presupuesto!B12+60)</f>
        <v>0</v>
      </c>
      <c r="C43" s="6">
        <v>0.25</v>
      </c>
      <c r="D43" s="6">
        <v>0.1</v>
      </c>
      <c r="E43" s="21">
        <f t="shared" si="3"/>
        <v>0</v>
      </c>
      <c r="F43" s="5">
        <f>E43+(E43*D43)</f>
        <v>0</v>
      </c>
      <c r="G43" s="2">
        <f>E43-B43</f>
        <v>0</v>
      </c>
      <c r="I43" s="2"/>
      <c r="J43" s="2"/>
      <c r="K43" s="24"/>
      <c r="L43" s="25"/>
      <c r="M43" s="24"/>
      <c r="N43" s="25"/>
      <c r="O43" s="24"/>
      <c r="P43" s="25"/>
      <c r="Q43" s="24"/>
      <c r="R43" s="25"/>
      <c r="S43" s="2"/>
      <c r="T43" s="2"/>
      <c r="U43" s="2"/>
      <c r="V43" s="2"/>
      <c r="W43" s="2"/>
      <c r="X43" s="2"/>
    </row>
    <row r="44" spans="1:24" x14ac:dyDescent="0.35">
      <c r="A44" s="12" t="s">
        <v>141</v>
      </c>
      <c r="B44" s="2">
        <f>Presupuesto!B13*ROUNDUP((Configurador!C4+Configurador!C5+Configurador!C6)/3,0)</f>
        <v>80</v>
      </c>
      <c r="C44" s="6">
        <v>0.15</v>
      </c>
      <c r="D44" s="6">
        <v>0.21</v>
      </c>
      <c r="E44" s="21">
        <f t="shared" si="3"/>
        <v>92</v>
      </c>
      <c r="F44" s="5">
        <f>E44+(E44*D44)</f>
        <v>111.32</v>
      </c>
      <c r="G44" s="2">
        <f>E44-B44</f>
        <v>12</v>
      </c>
      <c r="I44" s="2"/>
      <c r="J44" s="2"/>
      <c r="K44" s="24"/>
      <c r="L44" s="25"/>
      <c r="M44" s="24"/>
      <c r="N44" s="25"/>
      <c r="O44" s="24"/>
      <c r="P44" s="25"/>
      <c r="Q44" s="24"/>
      <c r="R44" s="25"/>
      <c r="S44" s="2"/>
      <c r="T44" s="2"/>
      <c r="U44" s="2"/>
      <c r="V44" s="2"/>
      <c r="W44" s="2"/>
      <c r="X44" s="2"/>
    </row>
    <row r="45" spans="1:24" x14ac:dyDescent="0.35">
      <c r="A45" s="12" t="s">
        <v>88</v>
      </c>
      <c r="B45" s="2">
        <f>Presupuesto!B14*ROUNDUP((Configurador!C4+Configurador!C5+Configurador!C6)/30,0)</f>
        <v>250</v>
      </c>
      <c r="C45" s="6">
        <v>0</v>
      </c>
      <c r="D45" s="6">
        <v>0.21</v>
      </c>
      <c r="E45" s="21">
        <f t="shared" ref="E45" si="6">B45+(B45*C45)</f>
        <v>250</v>
      </c>
      <c r="F45" s="5">
        <f>E45+(E45*D45)</f>
        <v>302.5</v>
      </c>
      <c r="G45" s="2">
        <f>E45</f>
        <v>250</v>
      </c>
      <c r="I45" s="2"/>
      <c r="J45" s="2"/>
      <c r="K45" s="24"/>
      <c r="L45" s="25"/>
      <c r="M45" s="24"/>
      <c r="N45" s="25"/>
      <c r="O45" s="24"/>
      <c r="P45" s="25"/>
      <c r="Q45" s="24"/>
      <c r="R45" s="25"/>
      <c r="S45" s="2"/>
      <c r="T45" s="2"/>
      <c r="U45" s="2"/>
      <c r="V45" s="2"/>
      <c r="W45" s="2"/>
      <c r="X45" s="2"/>
    </row>
    <row r="46" spans="1:24" x14ac:dyDescent="0.35">
      <c r="A46" s="12" t="s">
        <v>113</v>
      </c>
      <c r="B46" s="2">
        <v>100</v>
      </c>
      <c r="C46" s="6">
        <v>0.25</v>
      </c>
      <c r="D46" s="6">
        <v>0.1</v>
      </c>
      <c r="E46" s="21">
        <f t="shared" ref="E46" si="7">B46+(B46*C46)</f>
        <v>125</v>
      </c>
      <c r="F46" s="5">
        <f>E46+(E46*D46)</f>
        <v>137.5</v>
      </c>
      <c r="G46" s="2">
        <f>E46-B46</f>
        <v>25</v>
      </c>
      <c r="I46" s="2"/>
      <c r="J46" s="2"/>
      <c r="K46" s="24"/>
      <c r="L46" s="25"/>
      <c r="M46" s="24"/>
      <c r="N46" s="25"/>
      <c r="O46" s="24"/>
      <c r="P46" s="25"/>
      <c r="Q46" s="24"/>
      <c r="R46" s="25"/>
      <c r="S46" s="2"/>
      <c r="T46" s="2"/>
      <c r="U46" s="2"/>
      <c r="V46" s="2"/>
      <c r="W46" s="2"/>
      <c r="X46" s="2"/>
    </row>
    <row r="47" spans="1:24" x14ac:dyDescent="0.35">
      <c r="A47" s="12" t="s">
        <v>19</v>
      </c>
      <c r="B47" s="2">
        <f>B16*(Configurador!C4+Configurador!C5+Configurador!C6)</f>
        <v>26.400000000000002</v>
      </c>
      <c r="C47" s="6">
        <v>0.15</v>
      </c>
      <c r="D47" s="6">
        <v>0.21</v>
      </c>
      <c r="E47" s="21">
        <f t="shared" si="3"/>
        <v>30.360000000000003</v>
      </c>
      <c r="F47" s="5">
        <f>E47+(E47*D47)</f>
        <v>36.735600000000005</v>
      </c>
      <c r="G47" s="2">
        <f>E47-B47</f>
        <v>3.9600000000000009</v>
      </c>
      <c r="I47" s="2"/>
      <c r="J47" s="2"/>
      <c r="K47" s="24"/>
      <c r="L47" s="25"/>
      <c r="M47" s="24">
        <f>E47</f>
        <v>30.360000000000003</v>
      </c>
      <c r="N47" s="25">
        <f>F47</f>
        <v>36.735600000000005</v>
      </c>
      <c r="O47" s="24">
        <f>E47</f>
        <v>30.360000000000003</v>
      </c>
      <c r="P47" s="25">
        <f>F47</f>
        <v>36.735600000000005</v>
      </c>
      <c r="Q47" s="24">
        <f>E47</f>
        <v>30.360000000000003</v>
      </c>
      <c r="R47" s="25">
        <f>F47</f>
        <v>36.735600000000005</v>
      </c>
      <c r="S47" s="2"/>
      <c r="T47" s="2"/>
      <c r="U47" s="2"/>
      <c r="V47" s="2"/>
      <c r="W47" s="2"/>
      <c r="X47" s="2"/>
    </row>
    <row r="48" spans="1:24" x14ac:dyDescent="0.35">
      <c r="A48" s="12" t="s">
        <v>58</v>
      </c>
      <c r="B48" s="2">
        <f>Presupuesto!B18*ROUNDUP((Configurador!C4+Configurador!C5+Configurador!C6)/10,0)</f>
        <v>27</v>
      </c>
      <c r="C48" s="6">
        <v>0.15</v>
      </c>
      <c r="D48" s="6">
        <v>0.21</v>
      </c>
      <c r="E48" s="21">
        <f t="shared" si="3"/>
        <v>31.05</v>
      </c>
      <c r="F48" s="5">
        <f>E48+(E48*D48)</f>
        <v>37.570500000000003</v>
      </c>
      <c r="G48" s="2">
        <f>E48-B48</f>
        <v>4.0500000000000007</v>
      </c>
      <c r="I48" s="2"/>
      <c r="J48" s="2"/>
      <c r="K48" s="24"/>
      <c r="L48" s="25"/>
      <c r="M48" s="24">
        <f>E48</f>
        <v>31.05</v>
      </c>
      <c r="N48" s="25">
        <f>F48</f>
        <v>37.570500000000003</v>
      </c>
      <c r="O48" s="24">
        <f>E48</f>
        <v>31.05</v>
      </c>
      <c r="P48" s="25">
        <f>F48</f>
        <v>37.570500000000003</v>
      </c>
      <c r="Q48" s="24">
        <f>E48</f>
        <v>31.05</v>
      </c>
      <c r="R48" s="25">
        <f>F48</f>
        <v>37.570500000000003</v>
      </c>
      <c r="S48" s="2"/>
      <c r="T48" s="2"/>
      <c r="U48" s="2"/>
      <c r="V48" s="2"/>
      <c r="W48" s="2"/>
      <c r="X48" s="2"/>
    </row>
    <row r="49" spans="1:24" x14ac:dyDescent="0.35">
      <c r="A49" s="12" t="s">
        <v>21</v>
      </c>
      <c r="B49" s="2">
        <f>Presupuesto!B19*ROUNDUP((Configurador!C4+Configurador!C5+Configurador!C6)/12,0)</f>
        <v>18</v>
      </c>
      <c r="C49" s="6">
        <v>0.15</v>
      </c>
      <c r="D49" s="6">
        <v>0.21</v>
      </c>
      <c r="E49" s="21">
        <f t="shared" si="3"/>
        <v>20.7</v>
      </c>
      <c r="F49" s="5">
        <f>E49+(E49*D49)</f>
        <v>25.046999999999997</v>
      </c>
      <c r="G49" s="2">
        <f>E49-B49</f>
        <v>2.6999999999999993</v>
      </c>
      <c r="I49" s="2"/>
      <c r="J49" s="2"/>
      <c r="K49" s="24"/>
      <c r="L49" s="25"/>
      <c r="M49" s="24">
        <f>E49</f>
        <v>20.7</v>
      </c>
      <c r="N49" s="25">
        <f>F49</f>
        <v>25.046999999999997</v>
      </c>
      <c r="O49" s="24">
        <f>E49</f>
        <v>20.7</v>
      </c>
      <c r="P49" s="25">
        <f>F49</f>
        <v>25.046999999999997</v>
      </c>
      <c r="Q49" s="24">
        <f>E49</f>
        <v>20.7</v>
      </c>
      <c r="R49" s="25">
        <f>F49</f>
        <v>25.046999999999997</v>
      </c>
      <c r="S49" s="2"/>
      <c r="T49" s="2"/>
      <c r="U49" s="2"/>
      <c r="V49" s="2"/>
      <c r="W49" s="2"/>
      <c r="X49" s="2"/>
    </row>
    <row r="50" spans="1:24" x14ac:dyDescent="0.35">
      <c r="A50" s="12" t="s">
        <v>59</v>
      </c>
      <c r="B50" s="2">
        <f>Presupuesto!B20*ROUNDUP((Configurador!C4+Configurador!C5+Configurador!C6)/12,0)</f>
        <v>18</v>
      </c>
      <c r="C50" s="6">
        <v>0.15</v>
      </c>
      <c r="D50" s="6">
        <v>0.21</v>
      </c>
      <c r="E50" s="21">
        <f t="shared" si="3"/>
        <v>20.7</v>
      </c>
      <c r="F50" s="5">
        <f>E50+(E50*D50)</f>
        <v>25.046999999999997</v>
      </c>
      <c r="G50" s="2">
        <f>E50-B50</f>
        <v>2.6999999999999993</v>
      </c>
      <c r="I50" s="2"/>
      <c r="J50" s="2"/>
      <c r="K50" s="24"/>
      <c r="L50" s="25"/>
      <c r="M50" s="24">
        <f>E50</f>
        <v>20.7</v>
      </c>
      <c r="N50" s="25">
        <f>F50</f>
        <v>25.046999999999997</v>
      </c>
      <c r="O50" s="24">
        <f>E50</f>
        <v>20.7</v>
      </c>
      <c r="P50" s="25">
        <f>F50</f>
        <v>25.046999999999997</v>
      </c>
      <c r="Q50" s="24">
        <f>E50</f>
        <v>20.7</v>
      </c>
      <c r="R50" s="25">
        <f>F50</f>
        <v>25.046999999999997</v>
      </c>
    </row>
    <row r="51" spans="1:24" x14ac:dyDescent="0.35">
      <c r="A51" s="12" t="s">
        <v>22</v>
      </c>
      <c r="B51" s="2">
        <f>Presupuesto!B21*ROUNDUP((Configurador!C4+Configurador!C5+Configurador!C6)/12,0)</f>
        <v>18</v>
      </c>
      <c r="C51" s="6">
        <v>0.15</v>
      </c>
      <c r="D51" s="6">
        <v>0.21</v>
      </c>
      <c r="E51" s="21">
        <f t="shared" si="3"/>
        <v>20.7</v>
      </c>
      <c r="F51" s="5">
        <f>E51+(E51*D51)</f>
        <v>25.046999999999997</v>
      </c>
      <c r="G51" s="2">
        <f>E51-B51</f>
        <v>2.6999999999999993</v>
      </c>
      <c r="I51" s="2"/>
      <c r="J51" s="2"/>
      <c r="K51" s="24"/>
      <c r="L51" s="25"/>
      <c r="M51" s="24">
        <f>E51</f>
        <v>20.7</v>
      </c>
      <c r="N51" s="25">
        <f>F51</f>
        <v>25.046999999999997</v>
      </c>
      <c r="O51" s="24">
        <f>E51</f>
        <v>20.7</v>
      </c>
      <c r="P51" s="25">
        <f>F51</f>
        <v>25.046999999999997</v>
      </c>
      <c r="Q51" s="24">
        <f>E51</f>
        <v>20.7</v>
      </c>
      <c r="R51" s="25">
        <f>F51</f>
        <v>25.046999999999997</v>
      </c>
    </row>
    <row r="52" spans="1:24" x14ac:dyDescent="0.35">
      <c r="A52" s="12" t="s">
        <v>23</v>
      </c>
      <c r="B52" s="2">
        <f>Presupuesto!B22*(Configurador!C4+Configurador!C5+Configurador!C6)</f>
        <v>12</v>
      </c>
      <c r="C52" s="6">
        <v>0.15</v>
      </c>
      <c r="D52" s="6">
        <v>0.21</v>
      </c>
      <c r="E52" s="21">
        <f t="shared" si="3"/>
        <v>13.8</v>
      </c>
      <c r="F52" s="5">
        <f>E52+(E52*D52)</f>
        <v>16.698</v>
      </c>
      <c r="G52" s="2">
        <f>E52-B52</f>
        <v>1.8000000000000007</v>
      </c>
      <c r="I52" s="2"/>
      <c r="J52" s="2"/>
      <c r="K52" s="24"/>
      <c r="L52" s="25"/>
      <c r="M52" s="24">
        <f>E52</f>
        <v>13.8</v>
      </c>
      <c r="N52" s="25">
        <f>F52</f>
        <v>16.698</v>
      </c>
      <c r="O52" s="24">
        <f>E52</f>
        <v>13.8</v>
      </c>
      <c r="P52" s="25">
        <f>F52</f>
        <v>16.698</v>
      </c>
      <c r="Q52" s="24">
        <f>E52</f>
        <v>13.8</v>
      </c>
      <c r="R52" s="25">
        <f>F52</f>
        <v>16.698</v>
      </c>
    </row>
    <row r="53" spans="1:24" x14ac:dyDescent="0.35">
      <c r="A53" s="12" t="s">
        <v>60</v>
      </c>
      <c r="B53" s="2">
        <f>B24</f>
        <v>330.57851239669424</v>
      </c>
      <c r="C53" s="6">
        <v>0.15</v>
      </c>
      <c r="D53" s="6">
        <v>0.21</v>
      </c>
      <c r="E53" s="21">
        <f t="shared" si="3"/>
        <v>380.16528925619838</v>
      </c>
      <c r="F53" s="5">
        <f>E53+(E53*D53)</f>
        <v>460</v>
      </c>
      <c r="G53" s="2">
        <f>E53-B53</f>
        <v>49.586776859504141</v>
      </c>
      <c r="I53" s="2"/>
      <c r="J53" s="2"/>
      <c r="K53" s="24"/>
      <c r="L53" s="25"/>
      <c r="M53" s="24"/>
      <c r="N53" s="25"/>
      <c r="O53" s="24">
        <f>E53</f>
        <v>380.16528925619838</v>
      </c>
      <c r="P53" s="25">
        <f>F53</f>
        <v>460</v>
      </c>
      <c r="Q53" s="24">
        <f>E53</f>
        <v>380.16528925619838</v>
      </c>
      <c r="R53" s="25">
        <f>F53</f>
        <v>460</v>
      </c>
    </row>
    <row r="54" spans="1:24" x14ac:dyDescent="0.35">
      <c r="A54" s="12" t="s">
        <v>34</v>
      </c>
      <c r="B54" s="2">
        <v>0</v>
      </c>
      <c r="C54" s="6">
        <v>0.15</v>
      </c>
      <c r="D54" s="6">
        <v>0.21</v>
      </c>
      <c r="E54" s="21">
        <f t="shared" si="3"/>
        <v>0</v>
      </c>
      <c r="F54" s="5">
        <f>E54+(E54*D54)</f>
        <v>0</v>
      </c>
      <c r="G54" s="2">
        <f>E54-B54</f>
        <v>0</v>
      </c>
      <c r="I54" s="2"/>
      <c r="J54" s="2"/>
      <c r="K54" s="24"/>
      <c r="L54" s="25"/>
      <c r="M54" s="24"/>
      <c r="N54" s="25"/>
      <c r="O54" s="24"/>
      <c r="P54" s="25"/>
      <c r="Q54" s="24"/>
      <c r="R54" s="25"/>
      <c r="S54" s="2"/>
      <c r="T54" s="2"/>
      <c r="U54" s="2"/>
      <c r="V54" s="2"/>
      <c r="W54" s="2"/>
      <c r="X54" s="2"/>
    </row>
    <row r="55" spans="1:24" x14ac:dyDescent="0.35">
      <c r="A55" s="12" t="s">
        <v>12</v>
      </c>
      <c r="B55" s="2">
        <f>B23</f>
        <v>140</v>
      </c>
      <c r="C55" s="6">
        <v>0.15</v>
      </c>
      <c r="D55" s="6">
        <v>0.21</v>
      </c>
      <c r="E55" s="21">
        <f t="shared" si="3"/>
        <v>161</v>
      </c>
      <c r="F55" s="5">
        <f>E55+(E55*D55)</f>
        <v>194.81</v>
      </c>
      <c r="G55" s="2">
        <f>E55-B55</f>
        <v>21</v>
      </c>
      <c r="I55" s="2"/>
      <c r="J55" s="2"/>
      <c r="K55" s="24"/>
      <c r="L55" s="25"/>
      <c r="M55" s="24">
        <f>E55</f>
        <v>161</v>
      </c>
      <c r="N55" s="25">
        <f>F55</f>
        <v>194.81</v>
      </c>
      <c r="O55" s="24">
        <f>E55</f>
        <v>161</v>
      </c>
      <c r="P55" s="25">
        <f>F55</f>
        <v>194.81</v>
      </c>
      <c r="Q55" s="24">
        <f>E55</f>
        <v>161</v>
      </c>
      <c r="R55" s="25">
        <f>F55</f>
        <v>194.81</v>
      </c>
      <c r="S55" s="2"/>
      <c r="T55" s="2"/>
      <c r="U55" s="2"/>
      <c r="V55" s="2"/>
      <c r="W55" s="2"/>
      <c r="X55" s="2"/>
    </row>
    <row r="56" spans="1:24" x14ac:dyDescent="0.35">
      <c r="A56" s="12" t="s">
        <v>130</v>
      </c>
      <c r="B56" s="2">
        <f>B25</f>
        <v>300</v>
      </c>
      <c r="C56" s="6">
        <v>0.15</v>
      </c>
      <c r="D56" s="6">
        <v>0.21</v>
      </c>
      <c r="E56" s="21">
        <f t="shared" si="3"/>
        <v>345</v>
      </c>
      <c r="F56" s="5">
        <f>E56+(E56*D56)</f>
        <v>417.45</v>
      </c>
      <c r="G56" s="2">
        <f>E56-B56</f>
        <v>45</v>
      </c>
      <c r="I56" s="2"/>
      <c r="J56" s="2"/>
      <c r="K56" s="24"/>
      <c r="L56" s="25"/>
      <c r="M56" s="24"/>
      <c r="N56" s="25"/>
      <c r="O56" s="24"/>
      <c r="P56" s="25"/>
      <c r="Q56" s="24"/>
      <c r="R56" s="25"/>
      <c r="S56" s="2"/>
      <c r="T56" s="2"/>
      <c r="U56" s="2"/>
      <c r="V56" s="2"/>
      <c r="W56" s="2"/>
      <c r="X56" s="2"/>
    </row>
    <row r="57" spans="1:24" x14ac:dyDescent="0.35">
      <c r="A57" s="12" t="s">
        <v>117</v>
      </c>
      <c r="B57" s="2">
        <f>B26</f>
        <v>150</v>
      </c>
      <c r="C57" s="6">
        <v>0.15</v>
      </c>
      <c r="D57" s="6">
        <v>0.21</v>
      </c>
      <c r="E57" s="21">
        <f t="shared" si="3"/>
        <v>172.5</v>
      </c>
      <c r="F57" s="5">
        <f>E57+(E57*D57)</f>
        <v>208.72499999999999</v>
      </c>
      <c r="G57" s="2">
        <f>E57-B57</f>
        <v>22.5</v>
      </c>
      <c r="I57" s="2"/>
      <c r="J57" s="2"/>
      <c r="K57" s="24"/>
      <c r="L57" s="25"/>
      <c r="M57" s="24"/>
      <c r="N57" s="25"/>
      <c r="O57" s="24"/>
      <c r="P57" s="25"/>
      <c r="Q57" s="24"/>
      <c r="R57" s="25"/>
      <c r="S57" s="2"/>
      <c r="T57" s="2"/>
      <c r="U57" s="2"/>
      <c r="V57" s="2"/>
      <c r="W57" s="2"/>
      <c r="X57" s="2"/>
    </row>
    <row r="58" spans="1:24" x14ac:dyDescent="0.35">
      <c r="A58" s="12" t="s">
        <v>127</v>
      </c>
      <c r="B58" s="2">
        <f>IF(Configurador!C9="Si",Presupuesto!B27,0)</f>
        <v>0</v>
      </c>
      <c r="C58" s="6">
        <v>0.15</v>
      </c>
      <c r="D58" s="6">
        <v>0.21</v>
      </c>
      <c r="E58" s="21">
        <f t="shared" ref="E58:E59" si="8">B58+(B58*C58)</f>
        <v>0</v>
      </c>
      <c r="F58" s="5">
        <f>E58+(E58*D58)</f>
        <v>0</v>
      </c>
      <c r="G58" s="2">
        <f>E58-B58</f>
        <v>0</v>
      </c>
      <c r="I58" s="2"/>
      <c r="J58" s="2"/>
      <c r="K58" s="24"/>
      <c r="L58" s="25"/>
      <c r="M58" s="24"/>
      <c r="N58" s="25"/>
      <c r="O58" s="24"/>
      <c r="P58" s="25"/>
      <c r="Q58" s="24"/>
      <c r="R58" s="25"/>
      <c r="S58" s="2"/>
      <c r="T58" s="2"/>
      <c r="U58" s="2"/>
      <c r="V58" s="2"/>
      <c r="W58" s="2"/>
      <c r="X58" s="2"/>
    </row>
    <row r="59" spans="1:24" x14ac:dyDescent="0.35">
      <c r="A59" s="12" t="s">
        <v>32</v>
      </c>
      <c r="B59" s="2">
        <f>IF(Configurador!C10="Si",Presupuesto!B28,0)</f>
        <v>0</v>
      </c>
      <c r="C59" s="6">
        <v>0</v>
      </c>
      <c r="D59" s="6">
        <v>0.21</v>
      </c>
      <c r="E59" s="21">
        <f t="shared" si="8"/>
        <v>0</v>
      </c>
      <c r="F59" s="5">
        <f>E59+(E59*D59)</f>
        <v>0</v>
      </c>
      <c r="G59" s="2">
        <f>E59</f>
        <v>0</v>
      </c>
      <c r="I59" s="2"/>
      <c r="J59" s="2"/>
      <c r="K59" s="24"/>
      <c r="L59" s="25"/>
      <c r="M59" s="24"/>
      <c r="N59" s="25"/>
      <c r="O59" s="24"/>
      <c r="P59" s="25"/>
      <c r="Q59" s="24"/>
      <c r="R59" s="25"/>
      <c r="S59" s="2"/>
      <c r="T59" s="2"/>
      <c r="U59" s="2"/>
      <c r="V59" s="2"/>
      <c r="W59" s="2"/>
      <c r="X59" s="2"/>
    </row>
    <row r="60" spans="1:24" ht="15" thickBot="1" x14ac:dyDescent="0.4">
      <c r="A60" s="12" t="s">
        <v>33</v>
      </c>
      <c r="B60" s="2">
        <f>IF(Configurador!C11="2 horas",Presupuesto!B29,IF(Configurador!C11="3 horas",Presupuesto!B30,IF(Configurador!C11="4 horas",Presupuesto!B31,0)))</f>
        <v>0</v>
      </c>
      <c r="C60" s="6">
        <v>0.15</v>
      </c>
      <c r="D60" s="6">
        <v>0.21</v>
      </c>
      <c r="E60" s="21">
        <f t="shared" si="3"/>
        <v>0</v>
      </c>
      <c r="F60" s="5">
        <f>E60+(E60*D60)</f>
        <v>0</v>
      </c>
      <c r="G60" s="2">
        <f>E60-B60</f>
        <v>0</v>
      </c>
      <c r="I60" s="2"/>
      <c r="J60" s="2"/>
      <c r="K60" s="24"/>
      <c r="L60" s="25"/>
      <c r="M60" s="24"/>
      <c r="N60" s="25"/>
      <c r="O60" s="24"/>
      <c r="P60" s="25"/>
      <c r="Q60" s="24"/>
      <c r="R60" s="25"/>
      <c r="S60" s="2"/>
      <c r="T60" s="2"/>
      <c r="U60" s="2"/>
      <c r="V60" s="2"/>
      <c r="W60" s="2"/>
      <c r="X60" s="2"/>
    </row>
    <row r="61" spans="1:24" s="7" customFormat="1" ht="19" thickBot="1" x14ac:dyDescent="0.5">
      <c r="A61" s="82" t="s">
        <v>5</v>
      </c>
      <c r="B61" s="79">
        <f>SUM(B37:B60)</f>
        <v>6139.978512396694</v>
      </c>
      <c r="C61" s="77"/>
      <c r="D61" s="77"/>
      <c r="E61" s="79">
        <f>SUM(E37:E60)</f>
        <v>6710.9752892561983</v>
      </c>
      <c r="F61" s="79">
        <f>SUM(F37:F60)</f>
        <v>7551.2500999999993</v>
      </c>
      <c r="G61" s="79">
        <f>SUM(G37:G60)</f>
        <v>2970.9967768595038</v>
      </c>
      <c r="I61" s="4"/>
      <c r="J61" s="26" t="s">
        <v>10</v>
      </c>
      <c r="K61" s="27">
        <f t="shared" ref="K61:R61" si="9">SUM(K37:K60)</f>
        <v>1999.9999999999998</v>
      </c>
      <c r="L61" s="28">
        <f t="shared" si="9"/>
        <v>2200</v>
      </c>
      <c r="M61" s="27">
        <f t="shared" si="9"/>
        <v>2298.3099999999995</v>
      </c>
      <c r="N61" s="28">
        <f t="shared" si="9"/>
        <v>2560.9550999999997</v>
      </c>
      <c r="O61" s="27">
        <f t="shared" si="9"/>
        <v>2678.4752892561978</v>
      </c>
      <c r="P61" s="28">
        <f t="shared" si="9"/>
        <v>3020.9550999999997</v>
      </c>
      <c r="Q61" s="27">
        <f t="shared" si="9"/>
        <v>5229.3678512396691</v>
      </c>
      <c r="R61" s="28">
        <f t="shared" si="9"/>
        <v>6008.7550999999994</v>
      </c>
      <c r="S61" s="4"/>
      <c r="T61" s="4"/>
      <c r="U61" s="4"/>
      <c r="V61" s="4"/>
      <c r="W61" s="4"/>
      <c r="X61" s="4"/>
    </row>
    <row r="62" spans="1:24" x14ac:dyDescent="0.3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3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3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3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3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3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3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3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3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x14ac:dyDescent="0.3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x14ac:dyDescent="0.3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x14ac:dyDescent="0.3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x14ac:dyDescent="0.3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x14ac:dyDescent="0.3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x14ac:dyDescent="0.3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x14ac:dyDescent="0.3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</sheetData>
  <mergeCells count="4">
    <mergeCell ref="K35:L35"/>
    <mergeCell ref="M35:N35"/>
    <mergeCell ref="O35:P35"/>
    <mergeCell ref="Q35:R35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"/>
  <sheetViews>
    <sheetView workbookViewId="0">
      <selection activeCell="E28" sqref="E28"/>
    </sheetView>
  </sheetViews>
  <sheetFormatPr baseColWidth="10" defaultRowHeight="14.5" x14ac:dyDescent="0.35"/>
  <cols>
    <col min="3" max="3" width="24.81640625" customWidth="1"/>
    <col min="8" max="8" width="50.7265625" customWidth="1"/>
  </cols>
  <sheetData>
    <row r="2" spans="1:8" ht="43.5" x14ac:dyDescent="0.35">
      <c r="A2" t="s">
        <v>17</v>
      </c>
      <c r="B2" t="s">
        <v>46</v>
      </c>
      <c r="C2" t="s">
        <v>40</v>
      </c>
      <c r="D2" t="s">
        <v>17</v>
      </c>
      <c r="E2" t="s">
        <v>17</v>
      </c>
      <c r="F2" t="s">
        <v>17</v>
      </c>
      <c r="G2" t="s">
        <v>17</v>
      </c>
      <c r="H2" s="16" t="s">
        <v>123</v>
      </c>
    </row>
    <row r="3" spans="1:8" ht="43.5" x14ac:dyDescent="0.35">
      <c r="A3" t="s">
        <v>16</v>
      </c>
      <c r="B3" t="s">
        <v>47</v>
      </c>
      <c r="C3" t="s">
        <v>41</v>
      </c>
      <c r="D3" t="s">
        <v>35</v>
      </c>
      <c r="E3" t="s">
        <v>35</v>
      </c>
      <c r="F3" t="s">
        <v>25</v>
      </c>
      <c r="G3" t="s">
        <v>14</v>
      </c>
      <c r="H3" s="16" t="s">
        <v>124</v>
      </c>
    </row>
    <row r="4" spans="1:8" ht="58" x14ac:dyDescent="0.35">
      <c r="B4" t="s">
        <v>48</v>
      </c>
      <c r="D4" t="s">
        <v>36</v>
      </c>
      <c r="E4" t="s">
        <v>36</v>
      </c>
      <c r="F4" t="s">
        <v>26</v>
      </c>
      <c r="G4" t="s">
        <v>15</v>
      </c>
      <c r="H4" s="16" t="s">
        <v>125</v>
      </c>
    </row>
    <row r="5" spans="1:8" x14ac:dyDescent="0.35">
      <c r="D5" t="s">
        <v>29</v>
      </c>
      <c r="E5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4"/>
  <sheetViews>
    <sheetView showGridLines="0" tabSelected="1" zoomScale="120" zoomScaleNormal="120" zoomScaleSheetLayoutView="130" workbookViewId="0">
      <selection activeCell="C4" sqref="C4"/>
    </sheetView>
  </sheetViews>
  <sheetFormatPr baseColWidth="10" defaultRowHeight="14.5" x14ac:dyDescent="0.35"/>
  <cols>
    <col min="1" max="1" width="8.36328125" style="8" customWidth="1"/>
    <col min="2" max="2" width="45.6328125" style="8" customWidth="1"/>
    <col min="3" max="3" width="18.90625" style="8" customWidth="1"/>
    <col min="4" max="4" width="53.1796875" style="8" customWidth="1"/>
    <col min="5" max="5" width="20.54296875" style="8" customWidth="1"/>
    <col min="6" max="6" width="26.1796875" style="36" customWidth="1"/>
    <col min="7" max="7" width="18.90625" style="36" customWidth="1"/>
    <col min="8" max="8" width="29.90625" style="8" customWidth="1"/>
    <col min="9" max="10" width="10.90625" style="8" customWidth="1"/>
    <col min="11" max="16384" width="10.90625" style="8"/>
  </cols>
  <sheetData>
    <row r="1" spans="1:7" ht="21" x14ac:dyDescent="0.5">
      <c r="A1" s="76"/>
      <c r="B1" s="87" t="s">
        <v>144</v>
      </c>
      <c r="C1" s="87"/>
      <c r="D1" s="76"/>
      <c r="E1" s="44"/>
      <c r="F1" s="44"/>
      <c r="G1" s="15"/>
    </row>
    <row r="2" spans="1:7" ht="6.5" customHeight="1" thickBot="1" x14ac:dyDescent="0.55000000000000004">
      <c r="B2" s="13"/>
      <c r="C2" s="13"/>
      <c r="D2" s="14"/>
      <c r="E2" s="14"/>
      <c r="F2" s="15"/>
      <c r="G2" s="15"/>
    </row>
    <row r="3" spans="1:7" s="9" customFormat="1" ht="15.5" x14ac:dyDescent="0.35">
      <c r="B3" s="88" t="s">
        <v>76</v>
      </c>
      <c r="C3" s="89"/>
      <c r="D3" s="31"/>
      <c r="F3" s="35"/>
      <c r="G3" s="15"/>
    </row>
    <row r="4" spans="1:7" x14ac:dyDescent="0.35">
      <c r="B4" s="32" t="s">
        <v>121</v>
      </c>
      <c r="C4" s="69">
        <v>24</v>
      </c>
    </row>
    <row r="5" spans="1:7" x14ac:dyDescent="0.35">
      <c r="B5" s="32" t="s">
        <v>122</v>
      </c>
      <c r="C5" s="69">
        <v>0</v>
      </c>
    </row>
    <row r="6" spans="1:7" ht="15" thickBot="1" x14ac:dyDescent="0.4">
      <c r="B6" s="32" t="s">
        <v>119</v>
      </c>
      <c r="C6" s="69">
        <v>0</v>
      </c>
    </row>
    <row r="7" spans="1:7" ht="39.5" customHeight="1" thickBot="1" x14ac:dyDescent="0.4">
      <c r="B7" s="33" t="s">
        <v>70</v>
      </c>
      <c r="C7" s="70" t="s">
        <v>47</v>
      </c>
      <c r="D7" s="73" t="str">
        <f>IF(C7="Albahaca",'Listas validación'!H2,IF(Configurador!C7="Eneldo",'Listas validación'!H3,'Listas validación'!H4))</f>
        <v>Una hora y media de aperitivos y barra libre, entrante, carne, pescado, postre nupcial, cava y sidra, café y licores y 3 horas de barra libre más una adicional de regalo</v>
      </c>
    </row>
    <row r="8" spans="1:7" x14ac:dyDescent="0.35">
      <c r="B8" s="32" t="s">
        <v>71</v>
      </c>
      <c r="C8" s="71">
        <v>0</v>
      </c>
    </row>
    <row r="9" spans="1:7" x14ac:dyDescent="0.35">
      <c r="B9" s="32" t="s">
        <v>126</v>
      </c>
      <c r="C9" s="71" t="s">
        <v>17</v>
      </c>
    </row>
    <row r="10" spans="1:7" x14ac:dyDescent="0.35">
      <c r="B10" s="32" t="s">
        <v>72</v>
      </c>
      <c r="C10" s="71" t="s">
        <v>17</v>
      </c>
    </row>
    <row r="11" spans="1:7" ht="15" thickBot="1" x14ac:dyDescent="0.4">
      <c r="B11" s="34" t="s">
        <v>73</v>
      </c>
      <c r="C11" s="72" t="s">
        <v>17</v>
      </c>
    </row>
    <row r="12" spans="1:7" ht="9" customHeight="1" thickBot="1" x14ac:dyDescent="0.4">
      <c r="B12" s="29"/>
      <c r="C12" s="13"/>
    </row>
    <row r="13" spans="1:7" ht="21.5" thickBot="1" x14ac:dyDescent="0.55000000000000004">
      <c r="B13" s="85" t="s">
        <v>131</v>
      </c>
      <c r="C13" s="86"/>
      <c r="D13" s="13"/>
      <c r="E13" s="13"/>
    </row>
    <row r="14" spans="1:7" x14ac:dyDescent="0.35">
      <c r="B14" s="45" t="s">
        <v>77</v>
      </c>
      <c r="C14" s="37"/>
      <c r="D14" s="13"/>
      <c r="E14" s="13"/>
    </row>
    <row r="15" spans="1:7" x14ac:dyDescent="0.35">
      <c r="B15" s="46" t="s">
        <v>78</v>
      </c>
      <c r="C15" s="38">
        <v>1</v>
      </c>
      <c r="D15" s="13"/>
      <c r="E15" s="13"/>
    </row>
    <row r="16" spans="1:7" ht="15" thickBot="1" x14ac:dyDescent="0.4">
      <c r="B16" s="47" t="s">
        <v>79</v>
      </c>
      <c r="C16" s="39">
        <v>1</v>
      </c>
      <c r="D16" s="13"/>
      <c r="E16" s="13"/>
    </row>
    <row r="17" spans="2:5" x14ac:dyDescent="0.35">
      <c r="B17" s="45" t="s">
        <v>111</v>
      </c>
      <c r="C17" s="37"/>
      <c r="D17" s="13"/>
      <c r="E17" s="13"/>
    </row>
    <row r="18" spans="2:5" x14ac:dyDescent="0.35">
      <c r="B18" s="48" t="s">
        <v>107</v>
      </c>
      <c r="C18" s="40"/>
      <c r="D18" s="13"/>
      <c r="E18" s="13"/>
    </row>
    <row r="19" spans="2:5" x14ac:dyDescent="0.35">
      <c r="B19" s="49" t="s">
        <v>80</v>
      </c>
      <c r="C19" s="41">
        <v>1</v>
      </c>
      <c r="D19" s="13"/>
      <c r="E19" s="13"/>
    </row>
    <row r="20" spans="2:5" x14ac:dyDescent="0.35">
      <c r="B20" s="50" t="s">
        <v>81</v>
      </c>
      <c r="C20" s="41">
        <v>1</v>
      </c>
      <c r="D20" s="13"/>
      <c r="E20" s="13"/>
    </row>
    <row r="21" spans="2:5" x14ac:dyDescent="0.35">
      <c r="B21" s="74" t="s">
        <v>82</v>
      </c>
      <c r="C21" s="75">
        <v>1</v>
      </c>
      <c r="D21" s="13"/>
      <c r="E21" s="13"/>
    </row>
    <row r="22" spans="2:5" x14ac:dyDescent="0.35">
      <c r="B22" s="48" t="s">
        <v>108</v>
      </c>
      <c r="C22" s="40"/>
      <c r="D22" s="13"/>
      <c r="E22" s="13"/>
    </row>
    <row r="23" spans="2:5" x14ac:dyDescent="0.35">
      <c r="B23" s="49" t="s">
        <v>83</v>
      </c>
      <c r="C23" s="41">
        <v>1</v>
      </c>
      <c r="D23" s="13"/>
      <c r="E23" s="13"/>
    </row>
    <row r="24" spans="2:5" ht="24" x14ac:dyDescent="0.35">
      <c r="B24" s="64" t="s">
        <v>84</v>
      </c>
      <c r="C24" s="41">
        <v>1</v>
      </c>
      <c r="D24" s="13"/>
      <c r="E24" s="13"/>
    </row>
    <row r="25" spans="2:5" x14ac:dyDescent="0.35">
      <c r="B25" s="49" t="s">
        <v>85</v>
      </c>
      <c r="C25" s="41">
        <v>1</v>
      </c>
      <c r="D25" s="13"/>
      <c r="E25" s="13"/>
    </row>
    <row r="26" spans="2:5" x14ac:dyDescent="0.35">
      <c r="B26" s="50" t="s">
        <v>81</v>
      </c>
      <c r="C26" s="41">
        <v>1</v>
      </c>
      <c r="D26" s="13"/>
      <c r="E26" s="13"/>
    </row>
    <row r="27" spans="2:5" x14ac:dyDescent="0.35">
      <c r="B27" s="49" t="s">
        <v>86</v>
      </c>
      <c r="C27" s="41">
        <v>1</v>
      </c>
      <c r="D27" s="13"/>
      <c r="E27" s="13"/>
    </row>
    <row r="28" spans="2:5" x14ac:dyDescent="0.35">
      <c r="B28" s="51" t="s">
        <v>87</v>
      </c>
      <c r="C28" s="42">
        <v>1</v>
      </c>
    </row>
    <row r="29" spans="2:5" x14ac:dyDescent="0.35">
      <c r="B29" s="52" t="s">
        <v>109</v>
      </c>
      <c r="C29" s="40"/>
    </row>
    <row r="30" spans="2:5" x14ac:dyDescent="0.35">
      <c r="B30" s="49" t="s">
        <v>88</v>
      </c>
      <c r="C30" s="41">
        <v>1</v>
      </c>
    </row>
    <row r="31" spans="2:5" x14ac:dyDescent="0.35">
      <c r="B31" s="49" t="s">
        <v>89</v>
      </c>
      <c r="C31" s="41">
        <v>1</v>
      </c>
    </row>
    <row r="32" spans="2:5" x14ac:dyDescent="0.35">
      <c r="B32" s="49" t="s">
        <v>90</v>
      </c>
      <c r="C32" s="41">
        <v>1</v>
      </c>
    </row>
    <row r="33" spans="2:3" x14ac:dyDescent="0.35">
      <c r="B33" s="49" t="s">
        <v>91</v>
      </c>
      <c r="C33" s="41">
        <v>1</v>
      </c>
    </row>
    <row r="34" spans="2:3" ht="15" thickBot="1" x14ac:dyDescent="0.4">
      <c r="B34" s="53" t="s">
        <v>92</v>
      </c>
      <c r="C34" s="43">
        <v>1</v>
      </c>
    </row>
    <row r="35" spans="2:3" x14ac:dyDescent="0.35">
      <c r="B35" s="52" t="s">
        <v>139</v>
      </c>
      <c r="C35" s="40"/>
    </row>
    <row r="36" spans="2:3" x14ac:dyDescent="0.35">
      <c r="B36" s="49" t="s">
        <v>140</v>
      </c>
      <c r="C36" s="41">
        <v>1</v>
      </c>
    </row>
    <row r="37" spans="2:3" ht="15" thickBot="1" x14ac:dyDescent="0.4">
      <c r="B37" s="49" t="s">
        <v>80</v>
      </c>
      <c r="C37" s="41">
        <v>1</v>
      </c>
    </row>
    <row r="38" spans="2:3" x14ac:dyDescent="0.35">
      <c r="B38" s="45" t="s">
        <v>93</v>
      </c>
      <c r="C38" s="37"/>
    </row>
    <row r="39" spans="2:3" x14ac:dyDescent="0.35">
      <c r="B39" s="54" t="s">
        <v>94</v>
      </c>
      <c r="C39" s="41">
        <v>1</v>
      </c>
    </row>
    <row r="40" spans="2:3" x14ac:dyDescent="0.35">
      <c r="B40" s="54" t="s">
        <v>136</v>
      </c>
      <c r="C40" s="41">
        <v>1</v>
      </c>
    </row>
    <row r="41" spans="2:3" x14ac:dyDescent="0.35">
      <c r="B41" s="54" t="s">
        <v>135</v>
      </c>
      <c r="C41" s="41">
        <v>1</v>
      </c>
    </row>
    <row r="42" spans="2:3" ht="15" thickBot="1" x14ac:dyDescent="0.4">
      <c r="B42" s="55" t="s">
        <v>95</v>
      </c>
      <c r="C42" s="43">
        <v>1</v>
      </c>
    </row>
    <row r="43" spans="2:3" x14ac:dyDescent="0.35">
      <c r="B43" s="45" t="str">
        <f>_xlfn.CONCAT("Catering para ",C4," comensales adultos y ",C5," niños")</f>
        <v>Catering para 24 comensales adultos y 0 niños</v>
      </c>
      <c r="C43" s="37"/>
    </row>
    <row r="44" spans="2:3" x14ac:dyDescent="0.35">
      <c r="B44" s="52" t="s">
        <v>96</v>
      </c>
      <c r="C44" s="40"/>
    </row>
    <row r="45" spans="2:3" x14ac:dyDescent="0.35">
      <c r="B45" s="50" t="s">
        <v>132</v>
      </c>
      <c r="C45" s="41">
        <f>IF(C7="Albahaca",0,IF(C7="Lavanda",0,1))</f>
        <v>1</v>
      </c>
    </row>
    <row r="46" spans="2:3" x14ac:dyDescent="0.35">
      <c r="B46" s="49" t="s">
        <v>133</v>
      </c>
      <c r="C46" s="41">
        <f>IF(C7="Albahaca",0,IF(C7="Eneldo",0,1))</f>
        <v>0</v>
      </c>
    </row>
    <row r="47" spans="2:3" x14ac:dyDescent="0.35">
      <c r="B47" s="52" t="s">
        <v>110</v>
      </c>
      <c r="C47" s="40"/>
    </row>
    <row r="48" spans="2:3" x14ac:dyDescent="0.35">
      <c r="B48" s="49" t="s">
        <v>97</v>
      </c>
      <c r="C48" s="41">
        <v>1</v>
      </c>
    </row>
    <row r="49" spans="2:3" x14ac:dyDescent="0.35">
      <c r="B49" s="49" t="s">
        <v>98</v>
      </c>
      <c r="C49" s="41">
        <v>1</v>
      </c>
    </row>
    <row r="50" spans="2:3" x14ac:dyDescent="0.35">
      <c r="B50" s="49" t="s">
        <v>99</v>
      </c>
      <c r="C50" s="41">
        <v>1</v>
      </c>
    </row>
    <row r="51" spans="2:3" x14ac:dyDescent="0.35">
      <c r="B51" s="49" t="s">
        <v>100</v>
      </c>
      <c r="C51" s="41">
        <v>1</v>
      </c>
    </row>
    <row r="52" spans="2:3" x14ac:dyDescent="0.35">
      <c r="B52" s="49" t="s">
        <v>101</v>
      </c>
      <c r="C52" s="41">
        <v>1</v>
      </c>
    </row>
    <row r="53" spans="2:3" x14ac:dyDescent="0.35">
      <c r="B53" s="49" t="s">
        <v>134</v>
      </c>
      <c r="C53" s="41">
        <v>1</v>
      </c>
    </row>
    <row r="54" spans="2:3" x14ac:dyDescent="0.35">
      <c r="B54" s="56" t="s">
        <v>137</v>
      </c>
      <c r="C54" s="41">
        <f>IF(C7="Lavanda",1,0)</f>
        <v>0</v>
      </c>
    </row>
    <row r="55" spans="2:3" x14ac:dyDescent="0.35">
      <c r="B55" s="52" t="s">
        <v>112</v>
      </c>
      <c r="C55" s="40"/>
    </row>
    <row r="56" spans="2:3" ht="24" x14ac:dyDescent="0.35">
      <c r="B56" s="58" t="s">
        <v>106</v>
      </c>
      <c r="C56" s="41">
        <v>1</v>
      </c>
    </row>
    <row r="57" spans="2:3" ht="15" thickBot="1" x14ac:dyDescent="0.4">
      <c r="B57" s="58" t="s">
        <v>113</v>
      </c>
      <c r="C57" s="41">
        <v>1</v>
      </c>
    </row>
    <row r="58" spans="2:3" x14ac:dyDescent="0.35">
      <c r="B58" s="45" t="s">
        <v>102</v>
      </c>
      <c r="C58" s="37"/>
    </row>
    <row r="59" spans="2:3" x14ac:dyDescent="0.35">
      <c r="B59" s="57" t="s">
        <v>138</v>
      </c>
      <c r="C59" s="41">
        <f>IF(C10="No",0,1)</f>
        <v>0</v>
      </c>
    </row>
    <row r="60" spans="2:3" ht="15" thickBot="1" x14ac:dyDescent="0.4">
      <c r="B60" s="55" t="str">
        <f>_xlfn.CONCAT("Animador de niños ",C11)</f>
        <v>Animador de niños No</v>
      </c>
      <c r="C60" s="43">
        <f>IF(C11="No",0,1)</f>
        <v>0</v>
      </c>
    </row>
    <row r="61" spans="2:3" x14ac:dyDescent="0.35">
      <c r="B61" s="45" t="s">
        <v>128</v>
      </c>
      <c r="C61" s="37"/>
    </row>
    <row r="62" spans="2:3" ht="15" thickBot="1" x14ac:dyDescent="0.4">
      <c r="B62" s="55" t="s">
        <v>129</v>
      </c>
      <c r="C62" s="41">
        <f>IF(C9="Si",1,0)</f>
        <v>0</v>
      </c>
    </row>
    <row r="63" spans="2:3" x14ac:dyDescent="0.35">
      <c r="B63" s="45" t="s">
        <v>103</v>
      </c>
      <c r="C63" s="37"/>
    </row>
    <row r="64" spans="2:3" ht="15" thickBot="1" x14ac:dyDescent="0.4">
      <c r="B64" s="59" t="str">
        <f>_xlfn.CONCAT("Paella ",C8," comensales")</f>
        <v>Paella 0 comensales</v>
      </c>
      <c r="C64" s="60">
        <f>IF(C8=0,0,1)</f>
        <v>0</v>
      </c>
    </row>
    <row r="65" spans="2:7" ht="15" hidden="1" thickBot="1" x14ac:dyDescent="0.4">
      <c r="B65" s="55" t="s">
        <v>104</v>
      </c>
      <c r="C65" s="43">
        <v>1</v>
      </c>
    </row>
    <row r="66" spans="2:7" hidden="1" x14ac:dyDescent="0.35">
      <c r="B66" s="30" t="s">
        <v>56</v>
      </c>
      <c r="C66" s="18">
        <f>Presupuesto!F37</f>
        <v>2200</v>
      </c>
    </row>
    <row r="67" spans="2:7" hidden="1" x14ac:dyDescent="0.35">
      <c r="B67" s="30" t="s">
        <v>55</v>
      </c>
      <c r="C67" s="19">
        <f>C66/24</f>
        <v>91.666666666666671</v>
      </c>
    </row>
    <row r="68" spans="2:7" hidden="1" x14ac:dyDescent="0.35">
      <c r="B68" s="30" t="s">
        <v>52</v>
      </c>
      <c r="C68" s="18">
        <f>Presupuesto!F61-Presupuesto!F37</f>
        <v>5351.2500999999993</v>
      </c>
    </row>
    <row r="69" spans="2:7" ht="19" thickBot="1" x14ac:dyDescent="0.5">
      <c r="B69" s="65" t="s">
        <v>53</v>
      </c>
      <c r="C69" s="66">
        <f>Presupuesto!F61</f>
        <v>7551.2500999999993</v>
      </c>
    </row>
    <row r="70" spans="2:7" ht="19" thickBot="1" x14ac:dyDescent="0.5">
      <c r="B70" s="62"/>
      <c r="C70" s="67"/>
    </row>
    <row r="71" spans="2:7" ht="15" thickBot="1" x14ac:dyDescent="0.4">
      <c r="B71" s="61" t="s">
        <v>57</v>
      </c>
      <c r="C71" s="68">
        <f>C68/(C4+C5)</f>
        <v>222.96875416666663</v>
      </c>
    </row>
    <row r="72" spans="2:7" ht="15" thickBot="1" x14ac:dyDescent="0.4">
      <c r="B72" s="61" t="s">
        <v>54</v>
      </c>
      <c r="C72" s="68">
        <f>C69/(C4+C5)</f>
        <v>314.63542083333328</v>
      </c>
    </row>
    <row r="73" spans="2:7" s="9" customFormat="1" ht="15.5" x14ac:dyDescent="0.35">
      <c r="B73" s="63" t="s">
        <v>105</v>
      </c>
      <c r="C73" s="8"/>
      <c r="D73" s="31"/>
      <c r="F73" s="35"/>
      <c r="G73" s="15"/>
    </row>
    <row r="74" spans="2:7" x14ac:dyDescent="0.35">
      <c r="B74" s="13"/>
      <c r="C74" s="13"/>
      <c r="D74" s="13"/>
      <c r="E74" s="13"/>
    </row>
  </sheetData>
  <sheetProtection algorithmName="SHA-512" hashValue="BS3h+qzZZLAzjmNMGhliuS2wW+vJmRlYqC+T8bbfzz8SZyKqu0VrVPz2qT5kSCeYIHdyrg14MRnfJPW3uhx+1w==" saltValue="8VW92PVXh5Ma6XL2b2SfQw==" spinCount="100000" sheet="1" objects="1" scenarios="1"/>
  <protectedRanges>
    <protectedRange sqref="C4:C5 C7:C11" name="Datos de entrada"/>
    <protectedRange sqref="C6" name="Datos de entrada_1"/>
  </protectedRanges>
  <mergeCells count="3">
    <mergeCell ref="B13:C13"/>
    <mergeCell ref="B1:C1"/>
    <mergeCell ref="B3:C3"/>
  </mergeCells>
  <conditionalFormatting sqref="C18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C45:C46 C48:C54 C19:C34 C56:C57 C38:C43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C15:C16"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C58:C60"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C44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C47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C55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C63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C64:C65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C61:C62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C35:C37">
    <cfRule type="iconSet" priority="2">
      <iconSet iconSet="3Symbols2">
        <cfvo type="percent" val="0"/>
        <cfvo type="percent" val="33"/>
        <cfvo type="percent" val="67"/>
      </iconSet>
    </cfRule>
  </conditionalFormatting>
  <dataValidations count="4">
    <dataValidation type="whole" allowBlank="1" showInputMessage="1" showErrorMessage="1" errorTitle="Número no válido" error="Sólo admitimos eventos entre 24 y 120 personas" promptTitle="Nº de personas" prompt="Introduzca el número de personas que asistirán al evento un mínimo de 24 y un máximo de 120" sqref="C4" xr:uid="{00000000-0002-0000-0300-000000000000}">
      <formula1>24</formula1>
      <formula2>120</formula2>
    </dataValidation>
    <dataValidation type="whole" allowBlank="1" showInputMessage="1" showErrorMessage="1" errorTitle="Número de comensales no admitido" error="El número de comensales es entre 10 y 100" promptTitle="Número de comensales" prompt="Si hace un evento de fin de semana, recomendamos una paella para el domingo. Indique el número de comensales." sqref="C8" xr:uid="{00000000-0002-0000-0300-000001000000}">
      <formula1>0</formula1>
      <formula2>100</formula2>
    </dataValidation>
    <dataValidation type="whole" allowBlank="1" showInputMessage="1" showErrorMessage="1" errorTitle="Número no válido" error="Sólo admitimos eventos entre 1 y 50 personas" promptTitle="Nº de niños" prompt="Introduzca el número de niños menores de 12 años que asistirán al evento. A los niños se les prepara un menú especial más barato." sqref="C5" xr:uid="{00000000-0002-0000-0300-000002000000}">
      <formula1>0</formula1>
      <formula2>50</formula2>
    </dataValidation>
    <dataValidation type="whole" allowBlank="1" showInputMessage="1" showErrorMessage="1" errorTitle="Número no válido" error="Sólo admitimos eventos entre 1 y 50 personas" promptTitle="Nº de niños" prompt="Introduzca el número de niños menores de 4 años que asistirán al evento. A los niños se les prepara un menú especial para peques." sqref="C6" xr:uid="{00000000-0002-0000-0300-000003000000}">
      <formula1>0</formula1>
      <formula2>50</formula2>
    </dataValidation>
  </dataValidations>
  <pageMargins left="0.7" right="0.7" top="0.75" bottom="0.75" header="0.3" footer="0.3"/>
  <pageSetup paperSize="9" scale="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41A58044-04FC-42B1-BBE2-024E73A8410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C18</xm:sqref>
        </x14:conditionalFormatting>
        <x14:conditionalFormatting xmlns:xm="http://schemas.microsoft.com/office/excel/2006/main">
          <x14:cfRule type="iconSet" priority="19" id="{0C50C50F-8D91-4457-926F-3415791369A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C45:C46 C48:C54 C19:C34 C56:C57 C38:C43</xm:sqref>
        </x14:conditionalFormatting>
        <x14:conditionalFormatting xmlns:xm="http://schemas.microsoft.com/office/excel/2006/main">
          <x14:cfRule type="iconSet" priority="17" id="{F0779C0B-ED79-4909-87EF-29B9E10FAE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C15:C16</xm:sqref>
        </x14:conditionalFormatting>
        <x14:conditionalFormatting xmlns:xm="http://schemas.microsoft.com/office/excel/2006/main">
          <x14:cfRule type="iconSet" priority="15" id="{D66671F8-1378-4734-9620-82E436009B5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C58:C60</xm:sqref>
        </x14:conditionalFormatting>
        <x14:conditionalFormatting xmlns:xm="http://schemas.microsoft.com/office/excel/2006/main">
          <x14:cfRule type="iconSet" priority="13" id="{27699108-FA34-4363-8BD6-63C2405819B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C44</xm:sqref>
        </x14:conditionalFormatting>
        <x14:conditionalFormatting xmlns:xm="http://schemas.microsoft.com/office/excel/2006/main">
          <x14:cfRule type="iconSet" priority="11" id="{6AD46C3E-4451-4024-9E11-ED15889F67C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C47</xm:sqref>
        </x14:conditionalFormatting>
        <x14:conditionalFormatting xmlns:xm="http://schemas.microsoft.com/office/excel/2006/main">
          <x14:cfRule type="iconSet" priority="9" id="{CA069265-FDF3-429D-BD53-4BFB533A579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C55</xm:sqref>
        </x14:conditionalFormatting>
        <x14:conditionalFormatting xmlns:xm="http://schemas.microsoft.com/office/excel/2006/main">
          <x14:cfRule type="iconSet" priority="7" id="{FA61DD06-B4D8-4953-896A-197CA6215D5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C63</xm:sqref>
        </x14:conditionalFormatting>
        <x14:conditionalFormatting xmlns:xm="http://schemas.microsoft.com/office/excel/2006/main">
          <x14:cfRule type="iconSet" priority="5" id="{DEEAE2D2-D16A-4CC6-ADC7-ECCDADDF7B5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C64:C65</xm:sqref>
        </x14:conditionalFormatting>
        <x14:conditionalFormatting xmlns:xm="http://schemas.microsoft.com/office/excel/2006/main">
          <x14:cfRule type="iconSet" priority="3" id="{ACB2D362-3938-4282-821D-AC25664D91D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C61:C62</xm:sqref>
        </x14:conditionalFormatting>
        <x14:conditionalFormatting xmlns:xm="http://schemas.microsoft.com/office/excel/2006/main">
          <x14:cfRule type="iconSet" priority="1" id="{D5A2DA5B-598B-45D5-B38A-D00A471DF99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C35:C37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¿Desea música con disc jockey?" prompt="Incluye disc jockey, alquiler de equipo de música profesional, luces, música seleccionada por el cliente" xr:uid="{00000000-0002-0000-0300-000004000000}">
          <x14:formula1>
            <xm:f>'Listas validación'!$A$2:$A$3</xm:f>
          </x14:formula1>
          <xm:sqref>C10</xm:sqref>
        </x14:dataValidation>
        <x14:dataValidation type="list" allowBlank="1" showInputMessage="1" showErrorMessage="1" promptTitle="¿Desea animación de niños?" prompt="Actividades de Gimcanas: _x000a_  o Carrera de pelotas y cucharas_x000a_  o Carrera de cangrejos_x000a_  o Pañuelo_x000a_  o Carrera de animales_x000a_  o Relevo de ciegos_x000a_  o Pesca " xr:uid="{00000000-0002-0000-0300-000005000000}">
          <x14:formula1>
            <xm:f>'Listas validación'!$E$2:$E$5</xm:f>
          </x14:formula1>
          <xm:sqref>C11</xm:sqref>
        </x14:dataValidation>
        <x14:dataValidation type="list" allowBlank="1" showInputMessage="1" showErrorMessage="1" promptTitle="Elija el tipo de menú" prompt="Damos tres opciones:_x000a_- Albahaca_x000a_- Eneldo_x000a_- Lavanda" xr:uid="{00000000-0002-0000-0300-000006000000}">
          <x14:formula1>
            <xm:f>'Listas validación'!$B$2:$B$4</xm:f>
          </x14:formula1>
          <xm:sqref>C7</xm:sqref>
        </x14:dataValidation>
        <x14:dataValidation type="list" allowBlank="1" showInputMessage="1" showErrorMessage="1" errorTitle="Indicar Sí o No" promptTitle="Autocar lanzadera" prompt="Se puede alquilar un autocar para 30 personas que haga los traslados de los invitados entre Atienza y la Casa Rural y que está disponible desde el inicio hasta el final del evento." xr:uid="{00000000-0002-0000-0300-000007000000}">
          <x14:formula1>
            <xm:f>'Listas validación'!$A$2:$A$3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Inversiones</vt:lpstr>
      <vt:lpstr>Presupuesto</vt:lpstr>
      <vt:lpstr>Listas validación</vt:lpstr>
      <vt:lpstr>Configurador</vt:lpstr>
      <vt:lpstr>Alojamiento</vt:lpstr>
      <vt:lpstr>Configurador!Área_de_impresión</vt:lpstr>
      <vt:lpstr>Comida</vt:lpstr>
      <vt:lpstr>Menú</vt:lpstr>
      <vt:lpstr>Silla</vt:lpstr>
      <vt:lpstr>SiNo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Yannone</dc:creator>
  <cp:lastModifiedBy>Federico Yannone</cp:lastModifiedBy>
  <dcterms:created xsi:type="dcterms:W3CDTF">2016-04-18T10:34:30Z</dcterms:created>
  <dcterms:modified xsi:type="dcterms:W3CDTF">2018-11-18T19:46:06Z</dcterms:modified>
</cp:coreProperties>
</file>